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activeTab="4"/>
  </bookViews>
  <sheets>
    <sheet name="Instructions" sheetId="1" r:id="rId1"/>
    <sheet name="Input1" sheetId="2" r:id="rId2"/>
    <sheet name="Input2" sheetId="3" r:id="rId3"/>
    <sheet name="Input3" sheetId="4" r:id="rId4"/>
    <sheet name="Model" sheetId="5" r:id="rId5"/>
    <sheet name="C" sheetId="6" state="hidden" r:id="rId6"/>
    <sheet name="DataBase" sheetId="7" r:id="rId7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calcMode="manual" fullCalcOnLoad="1"/>
</workbook>
</file>

<file path=xl/comments2.xml><?xml version="1.0" encoding="utf-8"?>
<comments xmlns="http://schemas.openxmlformats.org/spreadsheetml/2006/main">
  <authors>
    <author>Valery Kleshnev</author>
  </authors>
  <commentList>
    <comment ref="C2" authorId="0">
      <text>
        <r>
          <rPr>
            <sz val="10"/>
            <rFont val="Arial"/>
            <family val="2"/>
          </rPr>
          <t xml:space="preserve">Boat Type  </t>
        </r>
      </text>
    </comment>
    <comment ref="B2" authorId="0">
      <text>
        <r>
          <rPr>
            <sz val="10"/>
            <rFont val="Arial"/>
            <family val="2"/>
          </rPr>
          <t>Name of athlete</t>
        </r>
      </text>
    </comment>
    <comment ref="D2" authorId="0">
      <text>
        <r>
          <rPr>
            <sz val="10"/>
            <rFont val="Arial"/>
            <family val="2"/>
          </rPr>
          <t>Date</t>
        </r>
      </text>
    </comment>
    <comment ref="B3" authorId="0">
      <text>
        <r>
          <rPr>
            <sz val="10"/>
            <rFont val="Arial"/>
            <family val="2"/>
          </rPr>
          <t>Full Piece (m)</t>
        </r>
      </text>
    </comment>
    <comment ref="D3" authorId="0">
      <text>
        <r>
          <rPr>
            <sz val="10"/>
            <rFont val="Tahoma"/>
            <family val="2"/>
          </rPr>
          <t>Optional
Wind direction (clock-wise):
0 - tail wind,
3 - stroke side wind,
6 - head wind,
9 - bow side wind</t>
        </r>
      </text>
    </comment>
    <comment ref="C3" authorId="0">
      <text>
        <r>
          <rPr>
            <sz val="10"/>
            <rFont val="Tahoma"/>
            <family val="2"/>
          </rPr>
          <t>Optional
Wind speed (m/s)</t>
        </r>
      </text>
    </comment>
  </commentList>
</comments>
</file>

<file path=xl/comments3.xml><?xml version="1.0" encoding="utf-8"?>
<comments xmlns="http://schemas.openxmlformats.org/spreadsheetml/2006/main">
  <authors>
    <author>Valery Kleshnev</author>
  </authors>
  <commentList>
    <comment ref="B2" authorId="0">
      <text>
        <r>
          <rPr>
            <sz val="10"/>
            <rFont val="Arial"/>
            <family val="2"/>
          </rPr>
          <t>Name of athlete</t>
        </r>
      </text>
    </comment>
    <comment ref="C2" authorId="0">
      <text>
        <r>
          <rPr>
            <sz val="10"/>
            <rFont val="Arial"/>
            <family val="2"/>
          </rPr>
          <t xml:space="preserve">Boat Type  </t>
        </r>
      </text>
    </comment>
    <comment ref="D2" authorId="0">
      <text>
        <r>
          <rPr>
            <sz val="10"/>
            <rFont val="Arial"/>
            <family val="2"/>
          </rPr>
          <t>Date</t>
        </r>
      </text>
    </comment>
    <comment ref="B3" authorId="0">
      <text>
        <r>
          <rPr>
            <sz val="10"/>
            <rFont val="Arial"/>
            <family val="2"/>
          </rPr>
          <t>Full Piece (m)</t>
        </r>
      </text>
    </comment>
    <comment ref="C3" authorId="0">
      <text>
        <r>
          <rPr>
            <sz val="10"/>
            <rFont val="Tahoma"/>
            <family val="2"/>
          </rPr>
          <t>Optional
Wind speed (m/s)</t>
        </r>
      </text>
    </comment>
    <comment ref="D3" authorId="0">
      <text>
        <r>
          <rPr>
            <sz val="10"/>
            <rFont val="Tahoma"/>
            <family val="2"/>
          </rPr>
          <t>Optional
Wind direction (clock-wise):
0 - tail wind,
3 - stroke side wind,
6 - head wind,
9 - bow side wind</t>
        </r>
      </text>
    </comment>
  </commentList>
</comments>
</file>

<file path=xl/comments4.xml><?xml version="1.0" encoding="utf-8"?>
<comments xmlns="http://schemas.openxmlformats.org/spreadsheetml/2006/main">
  <authors>
    <author>Valery Kleshnev</author>
  </authors>
  <commentList>
    <comment ref="B2" authorId="0">
      <text>
        <r>
          <rPr>
            <sz val="10"/>
            <rFont val="Arial"/>
            <family val="2"/>
          </rPr>
          <t>Name of athlete</t>
        </r>
      </text>
    </comment>
    <comment ref="C2" authorId="0">
      <text>
        <r>
          <rPr>
            <sz val="10"/>
            <rFont val="Arial"/>
            <family val="2"/>
          </rPr>
          <t xml:space="preserve">Boat Type  </t>
        </r>
      </text>
    </comment>
    <comment ref="D2" authorId="0">
      <text>
        <r>
          <rPr>
            <sz val="10"/>
            <rFont val="Arial"/>
            <family val="2"/>
          </rPr>
          <t>Date</t>
        </r>
      </text>
    </comment>
    <comment ref="B3" authorId="0">
      <text>
        <r>
          <rPr>
            <sz val="10"/>
            <rFont val="Arial"/>
            <family val="2"/>
          </rPr>
          <t>Full Piece (m)</t>
        </r>
      </text>
    </comment>
    <comment ref="C3" authorId="0">
      <text>
        <r>
          <rPr>
            <sz val="10"/>
            <rFont val="Tahoma"/>
            <family val="2"/>
          </rPr>
          <t>Optional
Wind speed (m/s)</t>
        </r>
      </text>
    </comment>
    <comment ref="D3" authorId="0">
      <text>
        <r>
          <rPr>
            <sz val="10"/>
            <rFont val="Tahoma"/>
            <family val="2"/>
          </rPr>
          <t>Optional
Wind direction (clock-wise):
0 - tail wind,
3 - stroke side wind,
6 - head wind,
9 - bow side wind</t>
        </r>
      </text>
    </comment>
  </commentList>
</comments>
</file>

<file path=xl/sharedStrings.xml><?xml version="1.0" encoding="utf-8"?>
<sst xmlns="http://schemas.openxmlformats.org/spreadsheetml/2006/main" count="148" uniqueCount="85">
  <si>
    <t>Rate (str/min)</t>
  </si>
  <si>
    <t>DPS (m)</t>
  </si>
  <si>
    <t>Piece (m)</t>
  </si>
  <si>
    <t>Speed (m/s)</t>
  </si>
  <si>
    <t>Racing Rate</t>
  </si>
  <si>
    <t>Modelling of Distance per Stroke</t>
  </si>
  <si>
    <t>Number of strokes</t>
  </si>
  <si>
    <t>Regress. Speed</t>
  </si>
  <si>
    <t>Name</t>
  </si>
  <si>
    <t>Date</t>
  </si>
  <si>
    <t>Strokes</t>
  </si>
  <si>
    <t>Rate</t>
  </si>
  <si>
    <t>Min</t>
  </si>
  <si>
    <t>Max</t>
  </si>
  <si>
    <t>Speed</t>
  </si>
  <si>
    <t>DPS</t>
  </si>
  <si>
    <t>Input # 1</t>
  </si>
  <si>
    <t>Input # 3</t>
  </si>
  <si>
    <t>Input # 2</t>
  </si>
  <si>
    <t>Time</t>
  </si>
  <si>
    <t>a</t>
  </si>
  <si>
    <t>b</t>
  </si>
  <si>
    <t>c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</si>
  <si>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</si>
  <si>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Data Mode Only!</t>
  </si>
  <si>
    <t>Delete previous data using button "CLEAR DATA";</t>
  </si>
  <si>
    <t>Click the button "Calculate"</t>
  </si>
  <si>
    <t>Click "Adjust Graph" on Model page to set the axis ranges</t>
  </si>
  <si>
    <t>Print out the page "Model"</t>
  </si>
  <si>
    <t>M1x</t>
  </si>
  <si>
    <t>R=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</si>
  <si>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</si>
  <si>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M2-</t>
  </si>
  <si>
    <t>Boat Type</t>
  </si>
  <si>
    <t>Wind speed</t>
  </si>
  <si>
    <t>Wind Direction</t>
  </si>
  <si>
    <t>Data=1</t>
  </si>
  <si>
    <t>Racing distance (m)</t>
  </si>
  <si>
    <t>Input Name, Boat Type, Date, Length of the Piece, Wind Speed (optional) and Wind Direction (optional);</t>
  </si>
  <si>
    <t>You can input three idependent sets of data for comparison in pages "Input1", "Input2" and "Input3"</t>
  </si>
  <si>
    <t>Select the sheet, where you want to unput data</t>
  </si>
  <si>
    <t>You can use pages "Input2" and "Input3" for modelling after setting them to "Model Mode"</t>
  </si>
  <si>
    <t>You can input data in the cells with grey fill and bold font</t>
  </si>
  <si>
    <t xml:space="preserve">Input from 3 to 20 rows of data (number of Strokes OR Rate only!); </t>
  </si>
  <si>
    <t>Click "to DataBase" to store data</t>
  </si>
  <si>
    <t>Click "from DataBase" to pull out stored data (can be on another sheet)</t>
  </si>
  <si>
    <t>WL1x</t>
  </si>
  <si>
    <t>W1x</t>
  </si>
  <si>
    <t>M4x</t>
  </si>
  <si>
    <t>W4x</t>
  </si>
  <si>
    <t>M2x</t>
  </si>
  <si>
    <t>% of Progn.</t>
  </si>
  <si>
    <t>Data Mode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</si>
  <si>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</si>
  <si>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R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</t>
    </r>
  </si>
  <si>
    <r>
      <t>R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</t>
    </r>
  </si>
  <si>
    <t>Crew 1</t>
  </si>
  <si>
    <t>Crew 2</t>
  </si>
  <si>
    <t>Crew 3</t>
  </si>
  <si>
    <t>Crew 4</t>
  </si>
  <si>
    <t>Crew 5</t>
  </si>
  <si>
    <t>Crew 6</t>
  </si>
  <si>
    <t>Crew 7</t>
  </si>
  <si>
    <t>Crew 8</t>
  </si>
  <si>
    <t>Crew 9</t>
  </si>
  <si>
    <t>Crew 10</t>
  </si>
  <si>
    <t>Crew 11</t>
  </si>
  <si>
    <t>Crew 12</t>
  </si>
  <si>
    <t>Crew 13</t>
  </si>
  <si>
    <t>Crew 14</t>
  </si>
  <si>
    <t>Crew 15</t>
  </si>
  <si>
    <t>Crew 16</t>
  </si>
  <si>
    <t>Crew 17</t>
  </si>
  <si>
    <t>Crew 18</t>
  </si>
  <si>
    <t>Crew 19</t>
  </si>
  <si>
    <t>Crew 20</t>
  </si>
  <si>
    <t>Crew 21</t>
  </si>
  <si>
    <t>Crew 22</t>
  </si>
  <si>
    <t>Crew 23</t>
  </si>
  <si>
    <t>Crew 24</t>
  </si>
  <si>
    <t>Crew 25</t>
  </si>
  <si>
    <t>Crew 26</t>
  </si>
  <si>
    <t>Crew 27</t>
  </si>
  <si>
    <t>Crew 28</t>
  </si>
  <si>
    <t>© 2000 Valery Kleshnev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</si>
</sst>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</numFmts>
  <fonts count="29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9.5"/>
      <name val="Arial"/>
      <family val="0"/>
    </font>
    <font>
      <b/>
      <sz val="9.75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.5"/>
      <name val="Arial"/>
      <family val="2"/>
    </font>
    <font>
      <b/>
      <sz val="8.5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i/>
      <sz val="12"/>
      <name val="Arial"/>
      <family val="2"/>
    </font>
    <font>
      <b/>
      <sz val="8.5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left" wrapText="1"/>
    </xf>
    <xf numFmtId="170" fontId="6" fillId="2" borderId="0" xfId="0" applyNumberFormat="1" applyFont="1" applyFill="1" applyAlignment="1">
      <alignment horizontal="center"/>
    </xf>
    <xf numFmtId="170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70" fontId="6" fillId="2" borderId="0" xfId="0" applyNumberFormat="1" applyFont="1" applyFill="1" applyBorder="1" applyAlignment="1">
      <alignment horizontal="center"/>
    </xf>
    <xf numFmtId="216" fontId="10" fillId="0" borderId="0" xfId="15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216" fontId="4" fillId="0" borderId="0" xfId="0" applyNumberFormat="1" applyFont="1" applyFill="1" applyBorder="1" applyAlignment="1">
      <alignment/>
    </xf>
    <xf numFmtId="170" fontId="0" fillId="2" borderId="0" xfId="0" applyNumberFormat="1" applyFill="1" applyBorder="1" applyAlignment="1">
      <alignment/>
    </xf>
    <xf numFmtId="0" fontId="6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0" borderId="5" xfId="0" applyBorder="1" applyAlignment="1">
      <alignment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0" fillId="0" borderId="0" xfId="21" applyNumberFormat="1" applyBorder="1" applyAlignment="1">
      <alignment horizontal="center"/>
    </xf>
    <xf numFmtId="10" fontId="0" fillId="0" borderId="0" xfId="21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Border="1" applyAlignment="1">
      <alignment horizontal="center"/>
    </xf>
    <xf numFmtId="176" fontId="6" fillId="2" borderId="0" xfId="15" applyNumberFormat="1" applyFont="1" applyFill="1" applyBorder="1" applyAlignment="1">
      <alignment horizontal="center"/>
    </xf>
    <xf numFmtId="176" fontId="6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/>
    </xf>
    <xf numFmtId="176" fontId="0" fillId="2" borderId="5" xfId="0" applyNumberFormat="1" applyFill="1" applyBorder="1" applyAlignment="1">
      <alignment/>
    </xf>
    <xf numFmtId="170" fontId="0" fillId="2" borderId="5" xfId="0" applyNumberFormat="1" applyFill="1" applyBorder="1" applyAlignment="1">
      <alignment/>
    </xf>
    <xf numFmtId="2" fontId="10" fillId="2" borderId="5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5" xfId="0" applyBorder="1" applyAlignment="1">
      <alignment textRotation="90" wrapText="1"/>
    </xf>
    <xf numFmtId="14" fontId="0" fillId="0" borderId="5" xfId="0" applyNumberFormat="1" applyBorder="1" applyAlignment="1">
      <alignment horizontal="left" textRotation="90" wrapText="1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textRotation="90" wrapText="1"/>
    </xf>
    <xf numFmtId="14" fontId="4" fillId="0" borderId="0" xfId="0" applyNumberFormat="1" applyFont="1" applyAlignment="1">
      <alignment horizontal="left"/>
    </xf>
    <xf numFmtId="219" fontId="4" fillId="0" borderId="5" xfId="0" applyNumberFormat="1" applyFont="1" applyBorder="1" applyAlignment="1">
      <alignment/>
    </xf>
    <xf numFmtId="219" fontId="4" fillId="0" borderId="6" xfId="0" applyNumberFormat="1" applyFont="1" applyBorder="1" applyAlignment="1">
      <alignment/>
    </xf>
    <xf numFmtId="219" fontId="4" fillId="0" borderId="0" xfId="0" applyNumberFormat="1" applyFont="1" applyAlignment="1">
      <alignment/>
    </xf>
    <xf numFmtId="219" fontId="4" fillId="0" borderId="1" xfId="0" applyNumberFormat="1" applyFont="1" applyBorder="1" applyAlignment="1">
      <alignment/>
    </xf>
    <xf numFmtId="219" fontId="0" fillId="0" borderId="5" xfId="0" applyNumberFormat="1" applyFont="1" applyBorder="1" applyAlignment="1">
      <alignment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7" fontId="0" fillId="0" borderId="0" xfId="0" applyNumberFormat="1" applyAlignment="1">
      <alignment/>
    </xf>
    <xf numFmtId="14" fontId="5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2" xfId="0" applyFont="1" applyBorder="1" applyAlignment="1">
      <alignment horizontal="center"/>
    </xf>
    <xf numFmtId="14" fontId="2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181" fontId="0" fillId="0" borderId="0" xfId="15" applyNumberFormat="1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170" fontId="0" fillId="0" borderId="1" xfId="0" applyNumberFormat="1" applyFont="1" applyBorder="1" applyAlignment="1">
      <alignment horizontal="center"/>
    </xf>
    <xf numFmtId="181" fontId="22" fillId="0" borderId="0" xfId="15" applyNumberFormat="1" applyFont="1" applyBorder="1" applyAlignment="1">
      <alignment horizontal="center" textRotation="90" wrapText="1"/>
    </xf>
    <xf numFmtId="0" fontId="22" fillId="0" borderId="0" xfId="0" applyFont="1" applyBorder="1" applyAlignment="1">
      <alignment horizontal="center" textRotation="90" wrapText="1"/>
    </xf>
    <xf numFmtId="170" fontId="22" fillId="0" borderId="1" xfId="0" applyNumberFormat="1" applyFont="1" applyBorder="1" applyAlignment="1">
      <alignment horizontal="center"/>
    </xf>
    <xf numFmtId="181" fontId="24" fillId="0" borderId="0" xfId="15" applyNumberFormat="1" applyFont="1" applyBorder="1" applyAlignment="1">
      <alignment horizontal="center" textRotation="90" wrapText="1"/>
    </xf>
    <xf numFmtId="0" fontId="24" fillId="0" borderId="0" xfId="0" applyFont="1" applyBorder="1" applyAlignment="1">
      <alignment horizontal="center" textRotation="90" wrapText="1"/>
    </xf>
    <xf numFmtId="170" fontId="24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81" fontId="0" fillId="0" borderId="2" xfId="15" applyNumberFormat="1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177" fontId="0" fillId="0" borderId="8" xfId="21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181" fontId="22" fillId="0" borderId="2" xfId="15" applyNumberFormat="1" applyFont="1" applyFill="1" applyBorder="1" applyAlignment="1">
      <alignment horizontal="center"/>
    </xf>
    <xf numFmtId="43" fontId="22" fillId="0" borderId="2" xfId="15" applyFont="1" applyBorder="1" applyAlignment="1">
      <alignment horizontal="center"/>
    </xf>
    <xf numFmtId="177" fontId="22" fillId="0" borderId="8" xfId="21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3" fontId="24" fillId="0" borderId="2" xfId="15" applyFont="1" applyBorder="1" applyAlignment="1">
      <alignment horizontal="center"/>
    </xf>
    <xf numFmtId="177" fontId="24" fillId="0" borderId="8" xfId="21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181" fontId="0" fillId="0" borderId="0" xfId="15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7" fontId="0" fillId="0" borderId="0" xfId="21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1" fontId="22" fillId="0" borderId="0" xfId="15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77" fontId="22" fillId="0" borderId="0" xfId="21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81" fontId="24" fillId="0" borderId="0" xfId="15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7" fontId="24" fillId="0" borderId="0" xfId="21" applyNumberFormat="1" applyFont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77" fontId="0" fillId="0" borderId="0" xfId="21" applyNumberFormat="1" applyFont="1" applyBorder="1" applyAlignment="1">
      <alignment horizontal="center"/>
    </xf>
    <xf numFmtId="181" fontId="0" fillId="0" borderId="0" xfId="15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7" fontId="0" fillId="0" borderId="0" xfId="21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6" fillId="0" borderId="0" xfId="0" applyFont="1" applyBorder="1" applyAlignment="1">
      <alignment textRotation="180"/>
    </xf>
    <xf numFmtId="1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81" fontId="24" fillId="0" borderId="2" xfId="15" applyNumberFormat="1" applyFont="1" applyFill="1" applyBorder="1" applyAlignment="1">
      <alignment horizontal="center"/>
    </xf>
    <xf numFmtId="0" fontId="27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DPS (m)</a:t>
            </a:r>
          </a:p>
        </c:rich>
      </c:tx>
      <c:layout>
        <c:manualLayout>
          <c:xMode val="factor"/>
          <c:yMode val="factor"/>
          <c:x val="-0.24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smooth"/>
        <c:varyColors val="0"/>
        <c:ser>
          <c:idx val="3"/>
          <c:order val="0"/>
          <c:tx>
            <c:strRef>
              <c:f>Model!$A$2</c:f>
              <c:strCache>
                <c:ptCount val="1"/>
                <c:pt idx="0">
                  <c:v>Crew 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Input1!$D$5:$D$24</c:f>
              <c:numCache>
                <c:ptCount val="20"/>
                <c:pt idx="0">
                  <c:v>15.6864</c:v>
                </c:pt>
                <c:pt idx="1">
                  <c:v>18.1283</c:v>
                </c:pt>
                <c:pt idx="2">
                  <c:v>21.5087</c:v>
                </c:pt>
                <c:pt idx="3">
                  <c:v>28.2414</c:v>
                </c:pt>
              </c:numCache>
            </c:numRef>
          </c:xVal>
          <c:yVal>
            <c:numRef>
              <c:f>Input1!$I$5:$I$24</c:f>
              <c:numCache>
                <c:ptCount val="20"/>
                <c:pt idx="0">
                  <c:v>11.292759858146132</c:v>
                </c:pt>
                <c:pt idx="1">
                  <c:v>11.134540710657518</c:v>
                </c:pt>
                <c:pt idx="2">
                  <c:v>10.24070804746994</c:v>
                </c:pt>
                <c:pt idx="3">
                  <c:v>8.636343772772964</c:v>
                </c:pt>
                <c:pt idx="4">
                  <c:v>8.222786838281861</c:v>
                </c:pt>
                <c:pt idx="5">
                  <c:v>8.326667177068115</c:v>
                </c:pt>
                <c:pt idx="6">
                  <c:v>8.335227002720254</c:v>
                </c:pt>
                <c:pt idx="7">
                  <c:v>8.221877651868791</c:v>
                </c:pt>
                <c:pt idx="8">
                  <c:v>10.195073487652945</c:v>
                </c:pt>
                <c:pt idx="9">
                  <c:v>13.00121536083483</c:v>
                </c:pt>
                <c:pt idx="10">
                  <c:v>11.981310353978829</c:v>
                </c:pt>
                <c:pt idx="11">
                  <c:v>11.596662063178385</c:v>
                </c:pt>
                <c:pt idx="12">
                  <c:v>10.795892653255335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Model!$H$2</c:f>
              <c:strCache>
                <c:ptCount val="1"/>
                <c:pt idx="0">
                  <c:v>Crew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Input2!$D$5:$D$24</c:f>
              <c:numCache>
                <c:ptCount val="20"/>
                <c:pt idx="0">
                  <c:v>19.2112</c:v>
                </c:pt>
                <c:pt idx="1">
                  <c:v>21.2268</c:v>
                </c:pt>
                <c:pt idx="2">
                  <c:v>25.323</c:v>
                </c:pt>
                <c:pt idx="3">
                  <c:v>30.135</c:v>
                </c:pt>
              </c:numCache>
            </c:numRef>
          </c:xVal>
          <c:yVal>
            <c:numRef>
              <c:f>Input2!$I$5:$I$24</c:f>
              <c:numCache>
                <c:ptCount val="20"/>
                <c:pt idx="0">
                  <c:v>10.117604846589032</c:v>
                </c:pt>
                <c:pt idx="1">
                  <c:v>9.492294347193297</c:v>
                </c:pt>
                <c:pt idx="2">
                  <c:v>8.443402157108562</c:v>
                </c:pt>
                <c:pt idx="3">
                  <c:v>7.634357049717987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Model!$O$2</c:f>
              <c:strCache>
                <c:ptCount val="1"/>
                <c:pt idx="0">
                  <c:v>Crew 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Input3!$D$5:$D$24</c:f>
              <c:numCache>
                <c:ptCount val="20"/>
                <c:pt idx="0">
                  <c:v>19.3147</c:v>
                </c:pt>
                <c:pt idx="1">
                  <c:v>18.8091</c:v>
                </c:pt>
                <c:pt idx="2">
                  <c:v>26.6142</c:v>
                </c:pt>
                <c:pt idx="3">
                  <c:v>33.7718</c:v>
                </c:pt>
              </c:numCache>
            </c:numRef>
          </c:xVal>
          <c:yVal>
            <c:numRef>
              <c:f>Input3!$I$5:$I$24</c:f>
              <c:numCache>
                <c:ptCount val="20"/>
                <c:pt idx="0">
                  <c:v>11.493255313006038</c:v>
                </c:pt>
                <c:pt idx="1">
                  <c:v>11.393068654017053</c:v>
                </c:pt>
                <c:pt idx="2">
                  <c:v>9.393873086574553</c:v>
                </c:pt>
                <c:pt idx="3">
                  <c:v>8.01511416704307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Model!$E$4</c:f>
              <c:strCache>
                <c:ptCount val="1"/>
                <c:pt idx="0">
                  <c:v>9:18.0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Model!$F$6:$F$20</c:f>
              <c:numCache/>
            </c:numRef>
          </c:yVal>
          <c:smooth val="1"/>
        </c:ser>
        <c:ser>
          <c:idx val="0"/>
          <c:order val="4"/>
          <c:tx>
            <c:strRef>
              <c:f>Model!$J$4</c:f>
              <c:strCache>
                <c:ptCount val="1"/>
                <c:pt idx="0">
                  <c:v>7:40.8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Model!$K$6:$K$20</c:f>
              <c:numCache/>
            </c:numRef>
          </c:yVal>
          <c:smooth val="1"/>
        </c:ser>
        <c:ser>
          <c:idx val="2"/>
          <c:order val="5"/>
          <c:tx>
            <c:strRef>
              <c:f>Model!$O$4</c:f>
              <c:strCache>
                <c:ptCount val="1"/>
                <c:pt idx="0">
                  <c:v>7:10.2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Model!$P$6:$P$20</c:f>
              <c:numCache/>
            </c:numRef>
          </c:yVal>
          <c:smooth val="1"/>
        </c:ser>
        <c:axId val="37040437"/>
        <c:axId val="64928478"/>
      </c:scatterChart>
      <c:valAx>
        <c:axId val="37040437"/>
        <c:scaling>
          <c:orientation val="minMax"/>
          <c:max val="44"/>
          <c:min val="16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crossBetween val="midCat"/>
        <c:dispUnits/>
        <c:majorUnit val="2"/>
      </c:valAx>
      <c:valAx>
        <c:axId val="64928478"/>
        <c:scaling>
          <c:orientation val="minMax"/>
          <c:max val="12.7"/>
          <c:min val="6.3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5725"/>
          <c:y val="0.04475"/>
          <c:w val="0.52525"/>
          <c:h val="0.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Speed (m/s)</a:t>
            </a:r>
          </a:p>
        </c:rich>
      </c:tx>
      <c:layout>
        <c:manualLayout>
          <c:xMode val="factor"/>
          <c:yMode val="factor"/>
          <c:x val="-0.318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2"/>
          <c:order val="0"/>
          <c:tx>
            <c:strRef>
              <c:f>Model!$A$2</c:f>
              <c:strCache>
                <c:ptCount val="1"/>
                <c:pt idx="0">
                  <c:v>Crew 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Input1!$D$5:$D$24</c:f>
              <c:numCache>
                <c:ptCount val="20"/>
                <c:pt idx="0">
                  <c:v>15.6864</c:v>
                </c:pt>
                <c:pt idx="1">
                  <c:v>18.1283</c:v>
                </c:pt>
                <c:pt idx="2">
                  <c:v>21.5087</c:v>
                </c:pt>
                <c:pt idx="3">
                  <c:v>28.2414</c:v>
                </c:pt>
              </c:numCache>
            </c:numRef>
          </c:xVal>
          <c:yVal>
            <c:numRef>
              <c:f>Input1!$H$5:$H$24</c:f>
              <c:numCache>
                <c:ptCount val="20"/>
                <c:pt idx="0">
                  <c:v>2.952379137313725</c:v>
                </c:pt>
                <c:pt idx="1">
                  <c:v>3.3641715727502115</c:v>
                </c:pt>
                <c:pt idx="2">
                  <c:v>3.6710719530102787</c:v>
                </c:pt>
                <c:pt idx="3">
                  <c:v>4.065040650406506</c:v>
                </c:pt>
                <c:pt idx="4">
                  <c:v>5.431328867066665</c:v>
                </c:pt>
                <c:pt idx="5">
                  <c:v>5.063127121466667</c:v>
                </c:pt>
                <c:pt idx="6">
                  <c:v>4.9179367440999995</c:v>
                </c:pt>
                <c:pt idx="7">
                  <c:v>4.799562188666666</c:v>
                </c:pt>
                <c:pt idx="8">
                  <c:v>4.849660523763337</c:v>
                </c:pt>
                <c:pt idx="9">
                  <c:v>4.304160688665711</c:v>
                </c:pt>
                <c:pt idx="10">
                  <c:v>4.484304932735426</c:v>
                </c:pt>
                <c:pt idx="11">
                  <c:v>4.599816007359706</c:v>
                </c:pt>
                <c:pt idx="12">
                  <c:v>4.712011293748668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Model!$H$2</c:f>
              <c:strCache>
                <c:ptCount val="1"/>
                <c:pt idx="0">
                  <c:v>Crew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Input2!$D$5:$D$24</c:f>
              <c:numCache>
                <c:ptCount val="20"/>
                <c:pt idx="0">
                  <c:v>19.2112</c:v>
                </c:pt>
                <c:pt idx="1">
                  <c:v>21.2268</c:v>
                </c:pt>
                <c:pt idx="2">
                  <c:v>25.323</c:v>
                </c:pt>
                <c:pt idx="3">
                  <c:v>30.135</c:v>
                </c:pt>
              </c:numCache>
            </c:numRef>
          </c:xVal>
          <c:yVal>
            <c:numRef>
              <c:f>Input2!$H$5:$H$24</c:f>
              <c:numCache>
                <c:ptCount val="20"/>
                <c:pt idx="0">
                  <c:v>3.239522170479854</c:v>
                </c:pt>
                <c:pt idx="1">
                  <c:v>3.3581838941500446</c:v>
                </c:pt>
                <c:pt idx="2">
                  <c:v>3.5635378804076683</c:v>
                </c:pt>
                <c:pt idx="3">
                  <c:v>3.834355828220859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Model!$O$2</c:f>
              <c:strCache>
                <c:ptCount val="1"/>
                <c:pt idx="0">
                  <c:v>Crew 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Input3!$D$5:$D$24</c:f>
              <c:numCache>
                <c:ptCount val="20"/>
                <c:pt idx="0">
                  <c:v>19.3147</c:v>
                </c:pt>
                <c:pt idx="1">
                  <c:v>18.8091</c:v>
                </c:pt>
                <c:pt idx="2">
                  <c:v>26.6142</c:v>
                </c:pt>
                <c:pt idx="3">
                  <c:v>33.7718</c:v>
                </c:pt>
              </c:numCache>
            </c:numRef>
          </c:xVal>
          <c:yVal>
            <c:numRef>
              <c:f>Input3!$H$5:$H$24</c:f>
              <c:numCache>
                <c:ptCount val="20"/>
                <c:pt idx="0">
                  <c:v>3.699812973235295</c:v>
                </c:pt>
                <c:pt idx="1">
                  <c:v>3.571556127004536</c:v>
                </c:pt>
                <c:pt idx="2">
                  <c:v>4.166840285011874</c:v>
                </c:pt>
                <c:pt idx="3">
                  <c:v>4.511413877109085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Model!$E$4</c:f>
              <c:strCache>
                <c:ptCount val="1"/>
                <c:pt idx="0">
                  <c:v>9:18.0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Model!$D$6:$D$20</c:f>
              <c:numCache/>
            </c:numRef>
          </c:yVal>
          <c:smooth val="1"/>
        </c:ser>
        <c:ser>
          <c:idx val="0"/>
          <c:order val="4"/>
          <c:tx>
            <c:strRef>
              <c:f>Model!$J$4</c:f>
              <c:strCache>
                <c:ptCount val="1"/>
                <c:pt idx="0">
                  <c:v>7:40.8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Model!$I$6:$I$20</c:f>
              <c:numCache/>
            </c:numRef>
          </c:yVal>
          <c:smooth val="1"/>
        </c:ser>
        <c:ser>
          <c:idx val="1"/>
          <c:order val="5"/>
          <c:tx>
            <c:strRef>
              <c:f>Model!$O$4</c:f>
              <c:strCache>
                <c:ptCount val="1"/>
                <c:pt idx="0">
                  <c:v>7:10.2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Model!$B$6:$B$20</c:f>
              <c:numCache/>
            </c:numRef>
          </c:xVal>
          <c:yVal>
            <c:numRef>
              <c:f>Model!$N$6:$N$20</c:f>
              <c:numCache/>
            </c:numRef>
          </c:yVal>
          <c:smooth val="1"/>
        </c:ser>
        <c:axId val="47485391"/>
        <c:axId val="24715336"/>
      </c:scatterChart>
      <c:valAx>
        <c:axId val="47485391"/>
        <c:scaling>
          <c:orientation val="minMax"/>
          <c:max val="44"/>
          <c:min val="16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15336"/>
        <c:crosses val="autoZero"/>
        <c:crossBetween val="midCat"/>
        <c:dispUnits/>
        <c:majorUnit val="2"/>
      </c:valAx>
      <c:valAx>
        <c:axId val="24715336"/>
        <c:scaling>
          <c:orientation val="minMax"/>
          <c:max val="4.75"/>
          <c:min val="3.05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_-* #,##0.0_-;\-* #,##0.0_-;_-* &quot;-&quot;??_-;_-@_-" sourceLinked="0"/>
        <c:majorTickMark val="out"/>
        <c:minorTickMark val="none"/>
        <c:tickLblPos val="nextTo"/>
        <c:crossAx val="474853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25"/>
          <c:y val="0.07675"/>
          <c:w val="0.47125"/>
          <c:h val="0.4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.emf" /><Relationship Id="rId3" Type="http://schemas.openxmlformats.org/officeDocument/2006/relationships/image" Target="../media/image21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Relationship Id="rId5" Type="http://schemas.openxmlformats.org/officeDocument/2006/relationships/image" Target="../media/image20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19050</xdr:rowOff>
    </xdr:from>
    <xdr:to>
      <xdr:col>6</xdr:col>
      <xdr:colOff>85725</xdr:colOff>
      <xdr:row>7</xdr:row>
      <xdr:rowOff>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9525</xdr:rowOff>
    </xdr:from>
    <xdr:to>
      <xdr:col>6</xdr:col>
      <xdr:colOff>85725</xdr:colOff>
      <xdr:row>10</xdr:row>
      <xdr:rowOff>0</xdr:rowOff>
    </xdr:to>
    <xdr:pic>
      <xdr:nvPicPr>
        <xdr:cNvPr id="2" name="cbTo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78117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12</xdr:row>
      <xdr:rowOff>190500</xdr:rowOff>
    </xdr:to>
    <xdr:pic>
      <xdr:nvPicPr>
        <xdr:cNvPr id="3" name="cbFrom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37172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419100</xdr:colOff>
      <xdr:row>22</xdr:row>
      <xdr:rowOff>0</xdr:rowOff>
    </xdr:to>
    <xdr:pic>
      <xdr:nvPicPr>
        <xdr:cNvPr id="4" name="lstData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57175"/>
          <a:ext cx="24860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190500</xdr:rowOff>
    </xdr:from>
    <xdr:to>
      <xdr:col>11</xdr:col>
      <xdr:colOff>409575</xdr:colOff>
      <xdr:row>1</xdr:row>
      <xdr:rowOff>142875</xdr:rowOff>
    </xdr:to>
    <xdr:pic>
      <xdr:nvPicPr>
        <xdr:cNvPr id="5" name="l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190500"/>
          <a:ext cx="1866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85725</xdr:colOff>
      <xdr:row>15</xdr:row>
      <xdr:rowOff>190500</xdr:rowOff>
    </xdr:to>
    <xdr:pic>
      <xdr:nvPicPr>
        <xdr:cNvPr id="6" name="cbCle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297180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19050</xdr:rowOff>
    </xdr:from>
    <xdr:to>
      <xdr:col>6</xdr:col>
      <xdr:colOff>85725</xdr:colOff>
      <xdr:row>7</xdr:row>
      <xdr:rowOff>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8110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9525</xdr:rowOff>
    </xdr:from>
    <xdr:to>
      <xdr:col>6</xdr:col>
      <xdr:colOff>85725</xdr:colOff>
      <xdr:row>10</xdr:row>
      <xdr:rowOff>0</xdr:rowOff>
    </xdr:to>
    <xdr:pic>
      <xdr:nvPicPr>
        <xdr:cNvPr id="2" name="cbTo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78117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12</xdr:row>
      <xdr:rowOff>190500</xdr:rowOff>
    </xdr:to>
    <xdr:pic>
      <xdr:nvPicPr>
        <xdr:cNvPr id="3" name="cbFrom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37172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180975</xdr:colOff>
      <xdr:row>23</xdr:row>
      <xdr:rowOff>38100</xdr:rowOff>
    </xdr:to>
    <xdr:pic>
      <xdr:nvPicPr>
        <xdr:cNvPr id="4" name="lstData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638175"/>
          <a:ext cx="26670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6</xdr:col>
      <xdr:colOff>85725</xdr:colOff>
      <xdr:row>19</xdr:row>
      <xdr:rowOff>28575</xdr:rowOff>
    </xdr:to>
    <xdr:pic>
      <xdr:nvPicPr>
        <xdr:cNvPr id="5" name="cbMod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3571875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142875</xdr:colOff>
      <xdr:row>3</xdr:row>
      <xdr:rowOff>28575</xdr:rowOff>
    </xdr:to>
    <xdr:pic>
      <xdr:nvPicPr>
        <xdr:cNvPr id="6" name="lData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457200"/>
          <a:ext cx="2628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85725</xdr:colOff>
      <xdr:row>15</xdr:row>
      <xdr:rowOff>190500</xdr:rowOff>
    </xdr:to>
    <xdr:pic>
      <xdr:nvPicPr>
        <xdr:cNvPr id="7" name="cbCle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297180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19050</xdr:rowOff>
    </xdr:from>
    <xdr:to>
      <xdr:col>6</xdr:col>
      <xdr:colOff>85725</xdr:colOff>
      <xdr:row>7</xdr:row>
      <xdr:rowOff>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8110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9525</xdr:rowOff>
    </xdr:from>
    <xdr:to>
      <xdr:col>6</xdr:col>
      <xdr:colOff>85725</xdr:colOff>
      <xdr:row>10</xdr:row>
      <xdr:rowOff>0</xdr:rowOff>
    </xdr:to>
    <xdr:pic>
      <xdr:nvPicPr>
        <xdr:cNvPr id="2" name="cbTo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78117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12</xdr:row>
      <xdr:rowOff>190500</xdr:rowOff>
    </xdr:to>
    <xdr:pic>
      <xdr:nvPicPr>
        <xdr:cNvPr id="3" name="cbFrom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37172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9</xdr:col>
      <xdr:colOff>571500</xdr:colOff>
      <xdr:row>23</xdr:row>
      <xdr:rowOff>190500</xdr:rowOff>
    </xdr:to>
    <xdr:pic>
      <xdr:nvPicPr>
        <xdr:cNvPr id="4" name="lstData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638175"/>
          <a:ext cx="25336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6</xdr:col>
      <xdr:colOff>85725</xdr:colOff>
      <xdr:row>19</xdr:row>
      <xdr:rowOff>28575</xdr:rowOff>
    </xdr:to>
    <xdr:pic>
      <xdr:nvPicPr>
        <xdr:cNvPr id="5" name="cbMod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3571875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11</xdr:col>
      <xdr:colOff>9525</xdr:colOff>
      <xdr:row>3</xdr:row>
      <xdr:rowOff>47625</xdr:rowOff>
    </xdr:to>
    <xdr:pic>
      <xdr:nvPicPr>
        <xdr:cNvPr id="6" name="lData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476250"/>
          <a:ext cx="2495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9525</xdr:rowOff>
    </xdr:from>
    <xdr:to>
      <xdr:col>6</xdr:col>
      <xdr:colOff>85725</xdr:colOff>
      <xdr:row>16</xdr:row>
      <xdr:rowOff>0</xdr:rowOff>
    </xdr:to>
    <xdr:pic>
      <xdr:nvPicPr>
        <xdr:cNvPr id="7" name="cbCle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2981325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391025" y="4019550"/>
        <a:ext cx="4438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4019550"/>
        <a:ext cx="43910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19</xdr:col>
      <xdr:colOff>0</xdr:colOff>
      <xdr:row>2</xdr:row>
      <xdr:rowOff>47625</xdr:rowOff>
    </xdr:to>
    <xdr:pic>
      <xdr:nvPicPr>
        <xdr:cNvPr id="3" name="cbAdjG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6"/>
  <sheetViews>
    <sheetView showGridLines="0" showRowColHeaders="0" workbookViewId="0" topLeftCell="A1">
      <selection activeCell="B26" sqref="B26"/>
    </sheetView>
  </sheetViews>
  <sheetFormatPr defaultColWidth="9.140625" defaultRowHeight="12.75"/>
  <cols>
    <col min="1" max="16384" width="9.140625" style="3" customWidth="1"/>
  </cols>
  <sheetData>
    <row r="2" spans="1:8" ht="15.75" customHeight="1">
      <c r="A2" s="106"/>
      <c r="B2" s="107" t="s">
        <v>39</v>
      </c>
      <c r="C2" s="107"/>
      <c r="D2" s="107"/>
      <c r="E2" s="107"/>
      <c r="F2" s="52"/>
      <c r="G2" s="52"/>
      <c r="H2" s="52"/>
    </row>
    <row r="3" spans="1:8" ht="15.75" customHeight="1">
      <c r="A3" s="106"/>
      <c r="B3" s="107" t="s">
        <v>41</v>
      </c>
      <c r="C3" s="107"/>
      <c r="D3" s="107"/>
      <c r="E3" s="107"/>
      <c r="F3" s="52"/>
      <c r="G3" s="52"/>
      <c r="H3" s="52"/>
    </row>
    <row r="4" spans="1:8" ht="15.75" customHeight="1">
      <c r="A4" s="106"/>
      <c r="B4" s="37" t="s">
        <v>42</v>
      </c>
      <c r="C4" s="108"/>
      <c r="D4" s="108"/>
      <c r="E4" s="108"/>
      <c r="F4" s="37"/>
      <c r="G4" s="37"/>
      <c r="H4" s="37"/>
    </row>
    <row r="5" spans="1:8" ht="15.75" customHeight="1">
      <c r="A5" s="106"/>
      <c r="B5" s="106"/>
      <c r="C5" s="107"/>
      <c r="D5" s="107"/>
      <c r="E5" s="107"/>
      <c r="F5" s="52"/>
      <c r="G5" s="52"/>
      <c r="H5" s="52"/>
    </row>
    <row r="6" spans="1:5" ht="12.75">
      <c r="A6" s="106"/>
      <c r="B6" s="106"/>
      <c r="C6" s="106"/>
      <c r="D6" s="106"/>
      <c r="E6" s="106"/>
    </row>
    <row r="7" spans="1:5" ht="15">
      <c r="A7" s="10">
        <v>1</v>
      </c>
      <c r="B7" s="107" t="s">
        <v>40</v>
      </c>
      <c r="C7" s="106"/>
      <c r="D7" s="106"/>
      <c r="E7" s="106"/>
    </row>
    <row r="8" spans="1:5" ht="15">
      <c r="A8" s="10">
        <v>2</v>
      </c>
      <c r="B8" s="107" t="s">
        <v>25</v>
      </c>
      <c r="C8" s="106"/>
      <c r="D8" s="106"/>
      <c r="E8" s="106"/>
    </row>
    <row r="9" spans="1:5" ht="15">
      <c r="A9" s="10">
        <v>3</v>
      </c>
      <c r="B9" s="107" t="s">
        <v>38</v>
      </c>
      <c r="C9" s="106"/>
      <c r="D9" s="106"/>
      <c r="E9" s="106"/>
    </row>
    <row r="10" spans="1:5" ht="15">
      <c r="A10" s="10">
        <v>4</v>
      </c>
      <c r="B10" s="107" t="s">
        <v>43</v>
      </c>
      <c r="C10" s="106"/>
      <c r="D10" s="106"/>
      <c r="E10" s="106"/>
    </row>
    <row r="11" spans="1:5" ht="15">
      <c r="A11" s="10">
        <v>5</v>
      </c>
      <c r="B11" s="107" t="s">
        <v>26</v>
      </c>
      <c r="C11" s="106"/>
      <c r="D11" s="106"/>
      <c r="E11" s="106"/>
    </row>
    <row r="12" spans="1:5" ht="15">
      <c r="A12" s="10">
        <v>6</v>
      </c>
      <c r="B12" s="107" t="s">
        <v>44</v>
      </c>
      <c r="C12" s="106"/>
      <c r="D12" s="106"/>
      <c r="E12" s="106"/>
    </row>
    <row r="13" spans="1:5" ht="15">
      <c r="A13" s="10">
        <v>7</v>
      </c>
      <c r="B13" s="107" t="s">
        <v>45</v>
      </c>
      <c r="C13" s="106"/>
      <c r="D13" s="106"/>
      <c r="E13" s="106"/>
    </row>
    <row r="14" spans="1:5" ht="15">
      <c r="A14" s="10">
        <v>8</v>
      </c>
      <c r="B14" s="107" t="s">
        <v>27</v>
      </c>
      <c r="C14" s="106"/>
      <c r="D14" s="106"/>
      <c r="E14" s="106"/>
    </row>
    <row r="15" spans="1:5" ht="15">
      <c r="A15" s="10">
        <v>9</v>
      </c>
      <c r="B15" s="107" t="s">
        <v>28</v>
      </c>
      <c r="C15" s="106"/>
      <c r="D15" s="106"/>
      <c r="E15" s="106"/>
    </row>
    <row r="16" spans="1:5" ht="15">
      <c r="A16" s="10"/>
      <c r="B16" s="106"/>
      <c r="C16" s="106"/>
      <c r="D16" s="106"/>
      <c r="E16" s="106"/>
    </row>
    <row r="17" spans="1:5" ht="12.75">
      <c r="A17" s="106"/>
      <c r="B17" s="106"/>
      <c r="C17" s="106"/>
      <c r="D17" s="106"/>
      <c r="E17" s="106"/>
    </row>
    <row r="18" spans="1:5" ht="12.75">
      <c r="A18" s="106"/>
      <c r="B18" s="106"/>
      <c r="C18" s="106"/>
      <c r="D18" s="106"/>
      <c r="E18" s="106"/>
    </row>
    <row r="26" ht="12.75">
      <c r="B26" s="3" t="s">
        <v>84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M35"/>
  <sheetViews>
    <sheetView workbookViewId="0" topLeftCell="A1">
      <selection activeCell="D5" sqref="D5:D24"/>
    </sheetView>
  </sheetViews>
  <sheetFormatPr defaultColWidth="9.140625" defaultRowHeight="12.75"/>
  <cols>
    <col min="1" max="1" width="9.28125" style="0" customWidth="1"/>
    <col min="2" max="2" width="15.7109375" style="10" customWidth="1"/>
    <col min="3" max="3" width="11.28125" style="27" customWidth="1"/>
    <col min="4" max="4" width="12.00390625" style="0" customWidth="1"/>
    <col min="5" max="5" width="10.421875" style="0" customWidth="1"/>
    <col min="6" max="6" width="11.7109375" style="0" customWidth="1"/>
    <col min="7" max="7" width="11.7109375" style="17" customWidth="1"/>
    <col min="8" max="8" width="8.421875" style="17" customWidth="1"/>
    <col min="9" max="9" width="9.28125" style="27" customWidth="1"/>
    <col min="10" max="10" width="3.28125" style="18" customWidth="1"/>
    <col min="11" max="11" width="9.28125" style="15" customWidth="1"/>
    <col min="13" max="13" width="9.28125" style="15" customWidth="1"/>
    <col min="14" max="16384" width="6.7109375" style="0" customWidth="1"/>
  </cols>
  <sheetData>
    <row r="1" spans="1:13" s="79" customFormat="1" ht="20.25">
      <c r="A1" s="76" t="s">
        <v>16</v>
      </c>
      <c r="B1" s="76"/>
      <c r="C1" s="76"/>
      <c r="D1" s="76" t="s">
        <v>24</v>
      </c>
      <c r="E1" s="76"/>
      <c r="F1" s="76"/>
      <c r="G1" s="76"/>
      <c r="H1" s="77"/>
      <c r="I1" s="78"/>
      <c r="J1" s="77"/>
      <c r="K1" s="78"/>
      <c r="M1" s="80"/>
    </row>
    <row r="2" spans="1:13" ht="15.75">
      <c r="A2" s="74" t="s">
        <v>8</v>
      </c>
      <c r="B2" s="37" t="s">
        <v>72</v>
      </c>
      <c r="C2" s="82" t="s">
        <v>47</v>
      </c>
      <c r="D2" s="110">
        <v>36913</v>
      </c>
      <c r="F2" s="35"/>
      <c r="G2" s="18"/>
      <c r="H2" s="85" t="s">
        <v>30</v>
      </c>
      <c r="I2" s="53">
        <f>CORREL(H5:H24,K5:K24)</f>
        <v>0.9955722349294415</v>
      </c>
      <c r="K2" s="27"/>
      <c r="M2" s="9"/>
    </row>
    <row r="3" spans="1:11" s="12" customFormat="1" ht="14.25" customHeight="1">
      <c r="A3" s="75" t="s">
        <v>2</v>
      </c>
      <c r="B3" s="11">
        <v>500</v>
      </c>
      <c r="C3" s="84"/>
      <c r="D3" s="84"/>
      <c r="F3" s="8"/>
      <c r="H3" s="86" t="s">
        <v>31</v>
      </c>
      <c r="I3" s="54">
        <f>I2^2</f>
        <v>0.991164074962403</v>
      </c>
      <c r="J3" s="24"/>
      <c r="K3" s="9"/>
    </row>
    <row r="4" spans="1:13" ht="41.25" customHeight="1" thickBot="1">
      <c r="A4" s="13"/>
      <c r="B4" s="14" t="str">
        <f>CONCATENATE("Time ",B3,"m (Format m:s.00 only!)")</f>
        <v>Time 500m (Format m:s.00 only!)</v>
      </c>
      <c r="C4" s="83" t="s">
        <v>6</v>
      </c>
      <c r="D4" s="83" t="s">
        <v>0</v>
      </c>
      <c r="E4" s="13"/>
      <c r="F4" s="32"/>
      <c r="G4" s="16"/>
      <c r="H4" s="28" t="s">
        <v>3</v>
      </c>
      <c r="I4" s="29" t="s">
        <v>1</v>
      </c>
      <c r="J4" s="29"/>
      <c r="K4" s="87" t="s">
        <v>7</v>
      </c>
      <c r="M4"/>
    </row>
    <row r="5" spans="1:13" ht="16.5" thickTop="1">
      <c r="A5" s="109"/>
      <c r="B5" s="62">
        <v>0.0019601266530769744</v>
      </c>
      <c r="C5" s="23">
        <v>44.27615625239038</v>
      </c>
      <c r="D5" s="20">
        <v>15.6864</v>
      </c>
      <c r="F5" s="17"/>
      <c r="G5" s="25"/>
      <c r="H5" s="30">
        <v>2.952379137313725</v>
      </c>
      <c r="I5" s="31">
        <v>11.292759858146132</v>
      </c>
      <c r="J5" s="31"/>
      <c r="K5" s="88">
        <v>2.9718570405809617</v>
      </c>
      <c r="M5" s="36"/>
    </row>
    <row r="6" spans="1:13" ht="15.75">
      <c r="A6" s="109"/>
      <c r="B6" s="62">
        <v>0.0017201967592592586</v>
      </c>
      <c r="C6" s="23">
        <v>44.905309791666646</v>
      </c>
      <c r="D6" s="20">
        <v>18.1283</v>
      </c>
      <c r="F6" s="17"/>
      <c r="G6" s="25"/>
      <c r="H6" s="30">
        <v>3.3641715727502115</v>
      </c>
      <c r="I6" s="31">
        <v>11.134540710657518</v>
      </c>
      <c r="J6" s="31"/>
      <c r="K6" s="88">
        <v>3.3225229057323316</v>
      </c>
      <c r="M6" s="36"/>
    </row>
    <row r="7" spans="1:13" ht="15.75">
      <c r="A7" s="109"/>
      <c r="B7" s="62">
        <v>0.0015763888888888891</v>
      </c>
      <c r="C7" s="23">
        <v>48.82474900000001</v>
      </c>
      <c r="D7" s="20">
        <v>21.5087</v>
      </c>
      <c r="F7" s="17"/>
      <c r="G7" s="25"/>
      <c r="H7" s="30">
        <v>3.6710719530102787</v>
      </c>
      <c r="I7" s="31">
        <v>10.24070804746994</v>
      </c>
      <c r="J7" s="31"/>
      <c r="K7" s="88">
        <v>3.6973098752255305</v>
      </c>
      <c r="M7" s="36"/>
    </row>
    <row r="8" spans="1:13" ht="15.75">
      <c r="A8" s="109"/>
      <c r="B8" s="62">
        <v>0.0014236111111111105</v>
      </c>
      <c r="C8" s="23">
        <v>57.894869999999976</v>
      </c>
      <c r="D8" s="20">
        <v>28.2414</v>
      </c>
      <c r="F8" s="17"/>
      <c r="G8" s="25"/>
      <c r="H8" s="30">
        <v>4.065040650406506</v>
      </c>
      <c r="I8" s="31">
        <v>8.636343772772964</v>
      </c>
      <c r="J8" s="31"/>
      <c r="K8" s="88">
        <v>4.060973491941899</v>
      </c>
      <c r="M8" s="36"/>
    </row>
    <row r="9" spans="2:13" ht="15.75">
      <c r="B9" s="62"/>
      <c r="C9" s="23"/>
      <c r="D9" s="20"/>
      <c r="F9" s="17"/>
      <c r="G9" s="25"/>
      <c r="H9" s="30">
        <v>5.431328867066665</v>
      </c>
      <c r="I9" s="31">
        <v>8.222786838281861</v>
      </c>
      <c r="J9" s="31"/>
      <c r="K9" s="88">
        <v>5.406963541202553</v>
      </c>
      <c r="M9" s="36"/>
    </row>
    <row r="10" spans="2:13" ht="15.75">
      <c r="B10" s="62"/>
      <c r="C10" s="23"/>
      <c r="D10" s="20"/>
      <c r="F10" s="17"/>
      <c r="G10" s="25"/>
      <c r="H10" s="30">
        <v>5.063127121466667</v>
      </c>
      <c r="I10" s="31">
        <v>8.326667177068115</v>
      </c>
      <c r="J10" s="31"/>
      <c r="K10" s="88">
        <v>5.103385763601472</v>
      </c>
      <c r="M10" s="36"/>
    </row>
    <row r="11" spans="2:13" ht="15.75">
      <c r="B11" s="62"/>
      <c r="C11" s="23"/>
      <c r="D11" s="20"/>
      <c r="F11" s="17"/>
      <c r="G11" s="25"/>
      <c r="H11" s="30">
        <v>4.9179367440999995</v>
      </c>
      <c r="I11" s="31">
        <v>8.335227002720254</v>
      </c>
      <c r="J11" s="31"/>
      <c r="K11" s="88">
        <v>5.044631691780987</v>
      </c>
      <c r="M11" s="36"/>
    </row>
    <row r="12" spans="2:13" ht="15.75">
      <c r="B12" s="62"/>
      <c r="C12" s="23"/>
      <c r="D12" s="20"/>
      <c r="F12" s="17"/>
      <c r="G12" s="25"/>
      <c r="H12" s="30">
        <v>4.799562188666666</v>
      </c>
      <c r="I12" s="31">
        <v>8.221877651868791</v>
      </c>
      <c r="J12" s="31"/>
      <c r="K12" s="88">
        <v>5.024311491109713</v>
      </c>
      <c r="M12"/>
    </row>
    <row r="13" spans="2:13" ht="15.75">
      <c r="B13" s="62"/>
      <c r="C13" s="23"/>
      <c r="D13" s="20"/>
      <c r="F13" s="17"/>
      <c r="G13" s="25"/>
      <c r="H13" s="30">
        <v>4.849660523763337</v>
      </c>
      <c r="I13" s="31">
        <v>10.195073487652945</v>
      </c>
      <c r="J13" s="31"/>
      <c r="K13" s="88">
        <v>4.898321780606061</v>
      </c>
      <c r="M13"/>
    </row>
    <row r="14" spans="2:13" ht="15.75">
      <c r="B14" s="62"/>
      <c r="C14" s="23"/>
      <c r="D14" s="20"/>
      <c r="F14" s="17"/>
      <c r="G14" s="25"/>
      <c r="H14" s="30">
        <v>4.304160688665711</v>
      </c>
      <c r="I14" s="31">
        <v>13.00121536083483</v>
      </c>
      <c r="J14" s="31"/>
      <c r="K14" s="88">
        <v>4.2897451143160685</v>
      </c>
      <c r="M14"/>
    </row>
    <row r="15" spans="2:13" ht="15.75">
      <c r="B15" s="62"/>
      <c r="C15" s="23"/>
      <c r="D15" s="20"/>
      <c r="F15" s="17"/>
      <c r="G15" s="25"/>
      <c r="H15" s="30">
        <v>4.484304932735426</v>
      </c>
      <c r="I15" s="31">
        <v>11.981310353978829</v>
      </c>
      <c r="J15" s="31"/>
      <c r="K15" s="88">
        <v>4.4806507349235885</v>
      </c>
      <c r="M15"/>
    </row>
    <row r="16" spans="2:13" ht="15.75">
      <c r="B16" s="62"/>
      <c r="C16" s="23"/>
      <c r="D16" s="20"/>
      <c r="F16" s="17"/>
      <c r="G16" s="25"/>
      <c r="H16" s="30">
        <v>4.599816007359706</v>
      </c>
      <c r="I16" s="31">
        <v>11.596662063178385</v>
      </c>
      <c r="J16" s="31"/>
      <c r="K16" s="88">
        <v>4.576457777141618</v>
      </c>
      <c r="M16"/>
    </row>
    <row r="17" spans="2:13" ht="15">
      <c r="B17" s="64"/>
      <c r="C17" s="34"/>
      <c r="D17" s="21"/>
      <c r="F17" s="17"/>
      <c r="G17" s="26"/>
      <c r="H17" s="30">
        <v>4.712011293748668</v>
      </c>
      <c r="I17" s="31">
        <v>10.795892653255335</v>
      </c>
      <c r="J17" s="31"/>
      <c r="K17" s="88">
        <v>4.741817788541396</v>
      </c>
      <c r="M17"/>
    </row>
    <row r="18" spans="2:13" ht="15">
      <c r="B18" s="64"/>
      <c r="C18" s="34"/>
      <c r="D18" s="21"/>
      <c r="F18" s="17"/>
      <c r="G18" s="26"/>
      <c r="H18" s="30"/>
      <c r="I18" s="31"/>
      <c r="J18" s="31"/>
      <c r="K18" s="88"/>
      <c r="M18"/>
    </row>
    <row r="19" spans="2:13" ht="15">
      <c r="B19" s="64"/>
      <c r="C19" s="34"/>
      <c r="D19" s="21"/>
      <c r="F19" s="17"/>
      <c r="G19" s="26"/>
      <c r="H19" s="30"/>
      <c r="I19" s="31"/>
      <c r="J19" s="31"/>
      <c r="K19" s="88"/>
      <c r="M19"/>
    </row>
    <row r="20" spans="2:13" ht="15">
      <c r="B20" s="64"/>
      <c r="C20" s="34"/>
      <c r="D20" s="21"/>
      <c r="F20" s="17"/>
      <c r="G20" s="26"/>
      <c r="H20" s="30"/>
      <c r="I20" s="31"/>
      <c r="J20" s="31"/>
      <c r="K20" s="88"/>
      <c r="M20"/>
    </row>
    <row r="21" spans="2:13" ht="15">
      <c r="B21" s="64"/>
      <c r="C21" s="34"/>
      <c r="D21" s="21"/>
      <c r="F21" s="17"/>
      <c r="G21" s="26"/>
      <c r="H21" s="30"/>
      <c r="I21" s="31"/>
      <c r="J21" s="31"/>
      <c r="K21" s="88"/>
      <c r="M21"/>
    </row>
    <row r="22" spans="2:13" ht="15">
      <c r="B22" s="64"/>
      <c r="C22" s="34"/>
      <c r="D22" s="21"/>
      <c r="F22" s="17"/>
      <c r="G22" s="26"/>
      <c r="H22" s="30"/>
      <c r="I22" s="31"/>
      <c r="J22" s="31"/>
      <c r="K22" s="88"/>
      <c r="M22"/>
    </row>
    <row r="23" spans="2:13" ht="15">
      <c r="B23" s="64"/>
      <c r="C23" s="34"/>
      <c r="D23" s="22"/>
      <c r="F23" s="17"/>
      <c r="G23" s="26"/>
      <c r="H23" s="30"/>
      <c r="I23" s="31"/>
      <c r="J23" s="31"/>
      <c r="K23" s="88"/>
      <c r="M23"/>
    </row>
    <row r="24" spans="1:13" ht="15.75" thickBot="1">
      <c r="A24" s="38"/>
      <c r="B24" s="65"/>
      <c r="C24" s="66"/>
      <c r="D24" s="67"/>
      <c r="E24" s="38"/>
      <c r="F24" s="41"/>
      <c r="G24" s="68"/>
      <c r="H24" s="69"/>
      <c r="I24" s="70"/>
      <c r="J24" s="70"/>
      <c r="K24" s="89"/>
      <c r="M24"/>
    </row>
    <row r="25" spans="2:13" s="18" customFormat="1" ht="16.5" thickTop="1">
      <c r="B25" s="71"/>
      <c r="C25" s="39"/>
      <c r="D25" s="40"/>
      <c r="E25" s="72"/>
      <c r="H25" s="73"/>
      <c r="I25" s="30"/>
      <c r="J25" s="33"/>
      <c r="K25" s="30"/>
      <c r="M25" s="30"/>
    </row>
    <row r="26" spans="2:13" s="18" customFormat="1" ht="15.75">
      <c r="B26" s="71"/>
      <c r="C26" s="39"/>
      <c r="D26" s="40"/>
      <c r="E26" s="72"/>
      <c r="H26" s="73"/>
      <c r="I26" s="30"/>
      <c r="J26" s="33"/>
      <c r="K26" s="30"/>
      <c r="M26" s="30"/>
    </row>
    <row r="27" spans="2:13" s="18" customFormat="1" ht="15.75">
      <c r="B27" s="71"/>
      <c r="C27" s="39"/>
      <c r="D27" s="40"/>
      <c r="E27" s="72"/>
      <c r="H27" s="73"/>
      <c r="I27" s="30"/>
      <c r="J27" s="33"/>
      <c r="K27" s="30"/>
      <c r="M27" s="30"/>
    </row>
    <row r="28" spans="2:13" s="18" customFormat="1" ht="15.75">
      <c r="B28" s="71"/>
      <c r="C28" s="39"/>
      <c r="D28" s="40"/>
      <c r="E28" s="72"/>
      <c r="H28" s="73"/>
      <c r="I28" s="30"/>
      <c r="J28" s="33"/>
      <c r="K28" s="30"/>
      <c r="M28" s="30"/>
    </row>
    <row r="29" spans="2:13" s="18" customFormat="1" ht="15.75">
      <c r="B29" s="71"/>
      <c r="C29" s="39"/>
      <c r="D29" s="40"/>
      <c r="E29" s="72"/>
      <c r="H29" s="73"/>
      <c r="I29" s="30"/>
      <c r="J29" s="33"/>
      <c r="K29" s="30"/>
      <c r="M29" s="30"/>
    </row>
    <row r="30" spans="2:13" s="18" customFormat="1" ht="15.75">
      <c r="B30" s="71"/>
      <c r="C30" s="39"/>
      <c r="D30" s="40"/>
      <c r="E30" s="72"/>
      <c r="H30" s="73"/>
      <c r="I30" s="30"/>
      <c r="J30" s="33"/>
      <c r="K30" s="30"/>
      <c r="M30" s="30"/>
    </row>
    <row r="31" spans="2:13" s="18" customFormat="1" ht="15">
      <c r="B31" s="27"/>
      <c r="C31" s="27"/>
      <c r="I31" s="27"/>
      <c r="K31" s="27"/>
      <c r="M31" s="27"/>
    </row>
    <row r="32" spans="2:13" s="18" customFormat="1" ht="15">
      <c r="B32" s="27"/>
      <c r="C32" s="27"/>
      <c r="I32" s="27"/>
      <c r="K32" s="27"/>
      <c r="M32" s="27"/>
    </row>
    <row r="33" spans="2:13" s="18" customFormat="1" ht="15">
      <c r="B33" s="27"/>
      <c r="C33" s="27"/>
      <c r="I33" s="27"/>
      <c r="K33" s="27"/>
      <c r="M33" s="27"/>
    </row>
    <row r="34" spans="2:13" s="18" customFormat="1" ht="15">
      <c r="B34" s="27"/>
      <c r="C34" s="27"/>
      <c r="I34" s="27"/>
      <c r="K34" s="27"/>
      <c r="M34" s="27"/>
    </row>
    <row r="35" spans="2:13" s="18" customFormat="1" ht="15">
      <c r="B35" s="27"/>
      <c r="C35" s="27"/>
      <c r="I35" s="27"/>
      <c r="K35" s="27"/>
      <c r="M35" s="27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p2"/>
  <dimension ref="A1:N35"/>
  <sheetViews>
    <sheetView workbookViewId="0" topLeftCell="A1">
      <selection activeCell="D5" sqref="D5:D24"/>
    </sheetView>
  </sheetViews>
  <sheetFormatPr defaultColWidth="9.140625" defaultRowHeight="12.75"/>
  <cols>
    <col min="1" max="1" width="9.28125" style="0" customWidth="1"/>
    <col min="2" max="2" width="15.7109375" style="10" customWidth="1"/>
    <col min="3" max="3" width="11.28125" style="27" customWidth="1"/>
    <col min="4" max="4" width="16.7109375" style="0" bestFit="1" customWidth="1"/>
    <col min="5" max="5" width="10.421875" style="0" customWidth="1"/>
    <col min="6" max="6" width="11.7109375" style="0" customWidth="1"/>
    <col min="7" max="7" width="11.7109375" style="17" customWidth="1"/>
    <col min="8" max="8" width="8.421875" style="17" customWidth="1"/>
    <col min="9" max="9" width="9.28125" style="27" customWidth="1"/>
    <col min="10" max="10" width="10.28125" style="18" customWidth="1"/>
    <col min="11" max="11" width="9.28125" style="15" customWidth="1"/>
    <col min="13" max="13" width="9.28125" style="15" customWidth="1"/>
    <col min="14" max="16384" width="6.7109375" style="0" customWidth="1"/>
  </cols>
  <sheetData>
    <row r="1" spans="1:13" s="79" customFormat="1" ht="20.25">
      <c r="A1" s="76" t="s">
        <v>18</v>
      </c>
      <c r="B1" s="76"/>
      <c r="C1" s="76"/>
      <c r="D1" s="76" t="s">
        <v>52</v>
      </c>
      <c r="E1" s="76"/>
      <c r="F1" s="76"/>
      <c r="G1" s="76"/>
      <c r="H1" s="77"/>
      <c r="I1" s="78"/>
      <c r="J1" s="77"/>
      <c r="K1" s="78"/>
      <c r="M1" s="80"/>
    </row>
    <row r="2" spans="1:13" ht="15.75">
      <c r="A2" s="74" t="s">
        <v>8</v>
      </c>
      <c r="B2" s="37" t="s">
        <v>73</v>
      </c>
      <c r="C2" s="82" t="s">
        <v>47</v>
      </c>
      <c r="D2" s="81">
        <v>36913</v>
      </c>
      <c r="F2" s="35"/>
      <c r="G2" s="18"/>
      <c r="H2" s="18"/>
      <c r="I2" s="53">
        <f>CORREL(H5:H24,K5:K24)</f>
        <v>0.9997052724633783</v>
      </c>
      <c r="K2" s="27"/>
      <c r="M2" s="9"/>
    </row>
    <row r="3" spans="1:11" s="12" customFormat="1" ht="14.25" customHeight="1">
      <c r="A3" s="75" t="s">
        <v>2</v>
      </c>
      <c r="B3" s="11">
        <v>500</v>
      </c>
      <c r="C3" s="84"/>
      <c r="D3" s="84"/>
      <c r="F3" s="8"/>
      <c r="H3" s="19"/>
      <c r="I3" s="54">
        <f>I2*I2</f>
        <v>0.9994106317910774</v>
      </c>
      <c r="J3" s="24"/>
      <c r="K3" s="9">
        <f>AVERAGE(K5:K30)</f>
        <v>3.4988999433119887</v>
      </c>
    </row>
    <row r="4" spans="1:13" ht="41.25" customHeight="1" thickBot="1">
      <c r="A4" s="13"/>
      <c r="B4" s="14" t="str">
        <f>CONCATENATE("Time ",B3,"m (Format m:s.00 only!)")</f>
        <v>Time 500m (Format m:s.00 only!)</v>
      </c>
      <c r="C4" s="83" t="s">
        <v>6</v>
      </c>
      <c r="D4" s="83" t="s">
        <v>0</v>
      </c>
      <c r="E4" s="13"/>
      <c r="F4" s="32"/>
      <c r="G4" s="16"/>
      <c r="H4" s="28" t="s">
        <v>3</v>
      </c>
      <c r="I4" s="29" t="s">
        <v>1</v>
      </c>
      <c r="J4" s="29"/>
      <c r="K4" s="87" t="s">
        <v>7</v>
      </c>
      <c r="M4"/>
    </row>
    <row r="5" spans="2:14" ht="16.5" thickTop="1">
      <c r="B5" s="62">
        <v>0.0017863859953703707</v>
      </c>
      <c r="C5" s="23">
        <v>49.418810833333346</v>
      </c>
      <c r="D5" s="20">
        <v>19.2112</v>
      </c>
      <c r="F5" s="17"/>
      <c r="G5" s="25"/>
      <c r="H5" s="30">
        <v>3.239522170479854</v>
      </c>
      <c r="I5" s="31">
        <v>10.117604846589032</v>
      </c>
      <c r="J5" s="31"/>
      <c r="K5" s="88">
        <v>3.2441213580905677</v>
      </c>
      <c r="L5">
        <f>B5/2</f>
        <v>0.0008931929976851853</v>
      </c>
      <c r="M5">
        <f aca="true" t="shared" si="0" ref="M5:N9">C5/2</f>
        <v>24.709405416666673</v>
      </c>
      <c r="N5">
        <f t="shared" si="0"/>
        <v>9.6056</v>
      </c>
    </row>
    <row r="6" spans="2:14" ht="15.75">
      <c r="B6" s="62">
        <v>0.0017232638888888883</v>
      </c>
      <c r="C6" s="23">
        <v>52.67430419999999</v>
      </c>
      <c r="D6" s="20">
        <v>21.2268</v>
      </c>
      <c r="F6" s="17"/>
      <c r="G6" s="25"/>
      <c r="H6" s="30">
        <v>3.3581838941500446</v>
      </c>
      <c r="I6" s="31">
        <v>9.492294347193297</v>
      </c>
      <c r="J6" s="31"/>
      <c r="K6" s="88">
        <v>3.349768916839359</v>
      </c>
      <c r="L6">
        <f>B6/2</f>
        <v>0.0008616319444444442</v>
      </c>
      <c r="M6">
        <f t="shared" si="0"/>
        <v>26.337152099999994</v>
      </c>
      <c r="N6">
        <f t="shared" si="0"/>
        <v>10.6134</v>
      </c>
    </row>
    <row r="7" spans="2:14" ht="15.75">
      <c r="B7" s="62">
        <v>0.0016239583333333336</v>
      </c>
      <c r="C7" s="23">
        <v>59.217835500000014</v>
      </c>
      <c r="D7" s="20">
        <v>25.323</v>
      </c>
      <c r="F7" s="17"/>
      <c r="G7" s="25"/>
      <c r="H7" s="30">
        <v>3.5635378804076683</v>
      </c>
      <c r="I7" s="31">
        <v>8.443402157108562</v>
      </c>
      <c r="J7" s="31"/>
      <c r="K7" s="88">
        <v>3.568675389640208</v>
      </c>
      <c r="L7">
        <f>B7/2</f>
        <v>0.0008119791666666668</v>
      </c>
      <c r="M7">
        <f t="shared" si="0"/>
        <v>29.608917750000007</v>
      </c>
      <c r="N7">
        <f t="shared" si="0"/>
        <v>12.6615</v>
      </c>
    </row>
    <row r="8" spans="2:14" ht="15.75">
      <c r="B8" s="62">
        <v>0.0015092592592592592</v>
      </c>
      <c r="C8" s="23">
        <v>65.49340000000001</v>
      </c>
      <c r="D8" s="20">
        <v>30.135</v>
      </c>
      <c r="F8" s="17"/>
      <c r="G8" s="25"/>
      <c r="H8" s="30">
        <v>3.834355828220859</v>
      </c>
      <c r="I8" s="31">
        <v>7.634357049717987</v>
      </c>
      <c r="J8" s="31"/>
      <c r="K8" s="88">
        <v>3.83303410867782</v>
      </c>
      <c r="L8">
        <f>B8/2</f>
        <v>0.0007546296296296296</v>
      </c>
      <c r="M8">
        <f t="shared" si="0"/>
        <v>32.746700000000004</v>
      </c>
      <c r="N8">
        <f t="shared" si="0"/>
        <v>15.0675</v>
      </c>
    </row>
    <row r="9" spans="2:14" ht="15.75">
      <c r="B9" s="62"/>
      <c r="C9" s="23"/>
      <c r="D9" s="20"/>
      <c r="F9" s="17"/>
      <c r="G9" s="25"/>
      <c r="H9" s="30"/>
      <c r="I9" s="31"/>
      <c r="J9" s="31"/>
      <c r="K9" s="88"/>
      <c r="L9">
        <f>B9/2</f>
        <v>0</v>
      </c>
      <c r="M9">
        <f t="shared" si="0"/>
        <v>0</v>
      </c>
      <c r="N9">
        <f t="shared" si="0"/>
        <v>0</v>
      </c>
    </row>
    <row r="10" spans="2:13" ht="15.75">
      <c r="B10" s="62"/>
      <c r="C10" s="23"/>
      <c r="D10" s="20"/>
      <c r="F10" s="17"/>
      <c r="G10" s="25"/>
      <c r="H10" s="30"/>
      <c r="I10" s="31"/>
      <c r="J10" s="31"/>
      <c r="K10" s="88"/>
      <c r="M10" s="36"/>
    </row>
    <row r="11" spans="2:13" ht="15.75">
      <c r="B11" s="62"/>
      <c r="C11" s="23"/>
      <c r="D11" s="20"/>
      <c r="F11" s="17"/>
      <c r="G11" s="25"/>
      <c r="H11" s="30"/>
      <c r="I11" s="31"/>
      <c r="J11" s="31"/>
      <c r="K11" s="88"/>
      <c r="M11" s="36"/>
    </row>
    <row r="12" spans="2:13" ht="15.75">
      <c r="B12" s="63"/>
      <c r="C12" s="23"/>
      <c r="D12" s="20"/>
      <c r="F12" s="17"/>
      <c r="G12" s="25"/>
      <c r="H12" s="30"/>
      <c r="I12" s="31"/>
      <c r="J12" s="31"/>
      <c r="K12" s="88"/>
      <c r="M12"/>
    </row>
    <row r="13" spans="2:13" ht="15.75">
      <c r="B13" s="63"/>
      <c r="C13" s="23"/>
      <c r="D13" s="20"/>
      <c r="F13" s="17"/>
      <c r="G13" s="25"/>
      <c r="H13" s="30"/>
      <c r="I13" s="31"/>
      <c r="J13" s="31"/>
      <c r="K13" s="88"/>
      <c r="M13"/>
    </row>
    <row r="14" spans="2:13" ht="15.75">
      <c r="B14" s="63"/>
      <c r="C14" s="23"/>
      <c r="D14" s="20"/>
      <c r="F14" s="17"/>
      <c r="G14" s="25"/>
      <c r="H14" s="30"/>
      <c r="I14" s="31"/>
      <c r="J14" s="31"/>
      <c r="K14" s="88"/>
      <c r="M14"/>
    </row>
    <row r="15" spans="2:13" ht="15.75">
      <c r="B15" s="63"/>
      <c r="C15" s="23"/>
      <c r="D15" s="20"/>
      <c r="F15" s="17"/>
      <c r="G15" s="25"/>
      <c r="H15" s="30"/>
      <c r="I15" s="31"/>
      <c r="J15" s="31"/>
      <c r="K15" s="88"/>
      <c r="M15"/>
    </row>
    <row r="16" spans="2:13" ht="15.75">
      <c r="B16" s="63"/>
      <c r="C16" s="23"/>
      <c r="D16" s="20"/>
      <c r="F16" s="17"/>
      <c r="G16" s="25"/>
      <c r="H16" s="30"/>
      <c r="I16" s="31"/>
      <c r="J16" s="31"/>
      <c r="K16" s="88"/>
      <c r="M16"/>
    </row>
    <row r="17" spans="2:13" ht="15">
      <c r="B17" s="64"/>
      <c r="C17" s="34"/>
      <c r="D17" s="21"/>
      <c r="F17" s="17"/>
      <c r="G17" s="26"/>
      <c r="H17" s="30"/>
      <c r="I17" s="31"/>
      <c r="J17" s="31"/>
      <c r="K17" s="88"/>
      <c r="M17"/>
    </row>
    <row r="18" spans="2:13" ht="15">
      <c r="B18" s="64"/>
      <c r="C18" s="34"/>
      <c r="D18" s="21"/>
      <c r="F18" s="17"/>
      <c r="G18" s="26"/>
      <c r="H18" s="30"/>
      <c r="I18" s="31"/>
      <c r="J18" s="31"/>
      <c r="K18" s="88"/>
      <c r="M18"/>
    </row>
    <row r="19" spans="2:13" ht="15">
      <c r="B19" s="64"/>
      <c r="C19" s="34"/>
      <c r="D19" s="21"/>
      <c r="F19" s="17"/>
      <c r="G19" s="26"/>
      <c r="H19" s="30"/>
      <c r="I19" s="31"/>
      <c r="J19" s="31"/>
      <c r="K19" s="88"/>
      <c r="M19"/>
    </row>
    <row r="20" spans="2:13" ht="15">
      <c r="B20" s="64"/>
      <c r="C20" s="34"/>
      <c r="D20" s="21"/>
      <c r="F20" s="17"/>
      <c r="G20" s="26"/>
      <c r="H20" s="30"/>
      <c r="I20" s="31"/>
      <c r="J20" s="31"/>
      <c r="K20" s="88"/>
      <c r="M20"/>
    </row>
    <row r="21" spans="2:13" ht="15">
      <c r="B21" s="64"/>
      <c r="C21" s="34"/>
      <c r="D21" s="21"/>
      <c r="F21" s="17"/>
      <c r="G21" s="26"/>
      <c r="H21" s="30"/>
      <c r="I21" s="31"/>
      <c r="J21" s="31"/>
      <c r="K21" s="88"/>
      <c r="M21"/>
    </row>
    <row r="22" spans="2:13" ht="15">
      <c r="B22" s="64"/>
      <c r="C22" s="34"/>
      <c r="D22" s="21"/>
      <c r="F22" s="17"/>
      <c r="G22" s="26"/>
      <c r="H22" s="30"/>
      <c r="I22" s="31"/>
      <c r="J22" s="31"/>
      <c r="K22" s="88"/>
      <c r="M22"/>
    </row>
    <row r="23" spans="2:13" ht="15">
      <c r="B23" s="64"/>
      <c r="C23" s="34"/>
      <c r="D23" s="22"/>
      <c r="F23" s="17"/>
      <c r="G23" s="26"/>
      <c r="H23" s="30"/>
      <c r="I23" s="31"/>
      <c r="J23" s="31"/>
      <c r="K23" s="88"/>
      <c r="M23"/>
    </row>
    <row r="24" spans="1:13" ht="15.75" thickBot="1">
      <c r="A24" s="38"/>
      <c r="B24" s="65"/>
      <c r="C24" s="66"/>
      <c r="D24" s="67"/>
      <c r="E24" s="38"/>
      <c r="F24" s="41"/>
      <c r="G24" s="68"/>
      <c r="H24" s="69"/>
      <c r="I24" s="70"/>
      <c r="J24" s="70"/>
      <c r="K24" s="89"/>
      <c r="M24"/>
    </row>
    <row r="25" spans="2:13" s="18" customFormat="1" ht="16.5" thickTop="1">
      <c r="B25" s="71"/>
      <c r="C25" s="39"/>
      <c r="D25" s="40"/>
      <c r="E25" s="72"/>
      <c r="H25" s="73"/>
      <c r="I25" s="30"/>
      <c r="J25" s="33"/>
      <c r="K25" s="30"/>
      <c r="M25" s="30"/>
    </row>
    <row r="26" spans="2:13" s="18" customFormat="1" ht="15.75">
      <c r="B26" s="71"/>
      <c r="C26" s="39"/>
      <c r="D26" s="40"/>
      <c r="E26" s="72"/>
      <c r="H26" s="73"/>
      <c r="I26" s="30"/>
      <c r="J26" s="33"/>
      <c r="K26" s="30"/>
      <c r="M26" s="30"/>
    </row>
    <row r="27" spans="2:13" s="18" customFormat="1" ht="15.75">
      <c r="B27" s="71"/>
      <c r="C27" s="39"/>
      <c r="D27" s="40"/>
      <c r="E27" s="72"/>
      <c r="H27" s="73"/>
      <c r="I27" s="30"/>
      <c r="J27" s="33"/>
      <c r="K27" s="30"/>
      <c r="M27" s="30"/>
    </row>
    <row r="28" spans="2:13" s="18" customFormat="1" ht="15.75">
      <c r="B28" s="71"/>
      <c r="C28" s="39"/>
      <c r="D28" s="40"/>
      <c r="E28" s="72"/>
      <c r="H28" s="73"/>
      <c r="I28" s="30"/>
      <c r="J28" s="33"/>
      <c r="K28" s="30"/>
      <c r="M28" s="30"/>
    </row>
    <row r="29" spans="2:13" s="18" customFormat="1" ht="15.75">
      <c r="B29" s="71"/>
      <c r="C29" s="39"/>
      <c r="D29" s="40"/>
      <c r="E29" s="72"/>
      <c r="H29" s="73"/>
      <c r="I29" s="30"/>
      <c r="J29" s="33"/>
      <c r="K29" s="30"/>
      <c r="M29" s="30"/>
    </row>
    <row r="30" spans="2:13" s="18" customFormat="1" ht="15.75">
      <c r="B30" s="71"/>
      <c r="C30" s="39"/>
      <c r="D30" s="40"/>
      <c r="E30" s="72"/>
      <c r="H30" s="73"/>
      <c r="I30" s="30"/>
      <c r="J30" s="33"/>
      <c r="K30" s="30"/>
      <c r="M30" s="30"/>
    </row>
    <row r="31" spans="2:13" s="18" customFormat="1" ht="15">
      <c r="B31" s="27"/>
      <c r="C31" s="27"/>
      <c r="I31" s="27"/>
      <c r="K31" s="27"/>
      <c r="M31" s="27"/>
    </row>
    <row r="32" spans="2:13" s="18" customFormat="1" ht="15">
      <c r="B32" s="27"/>
      <c r="C32" s="27"/>
      <c r="I32" s="27"/>
      <c r="K32" s="27"/>
      <c r="M32" s="27"/>
    </row>
    <row r="33" spans="2:13" s="18" customFormat="1" ht="15">
      <c r="B33" s="27"/>
      <c r="C33" s="27"/>
      <c r="I33" s="27"/>
      <c r="K33" s="27"/>
      <c r="M33" s="27"/>
    </row>
    <row r="34" spans="2:13" s="18" customFormat="1" ht="15">
      <c r="B34" s="27"/>
      <c r="C34" s="27"/>
      <c r="I34" s="27"/>
      <c r="K34" s="27"/>
      <c r="M34" s="27"/>
    </row>
    <row r="35" spans="2:13" s="18" customFormat="1" ht="15">
      <c r="B35" s="27"/>
      <c r="C35" s="27"/>
      <c r="I35" s="27"/>
      <c r="K35" s="27"/>
      <c r="M35" s="27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Inp3"/>
  <dimension ref="A1:M35"/>
  <sheetViews>
    <sheetView workbookViewId="0" topLeftCell="A1">
      <selection activeCell="D5" sqref="D5:D24"/>
    </sheetView>
  </sheetViews>
  <sheetFormatPr defaultColWidth="9.140625" defaultRowHeight="12.75"/>
  <cols>
    <col min="1" max="1" width="9.28125" style="0" customWidth="1"/>
    <col min="2" max="2" width="15.7109375" style="10" customWidth="1"/>
    <col min="3" max="3" width="11.28125" style="27" customWidth="1"/>
    <col min="4" max="4" width="16.7109375" style="0" bestFit="1" customWidth="1"/>
    <col min="5" max="5" width="10.421875" style="0" customWidth="1"/>
    <col min="6" max="6" width="11.7109375" style="0" customWidth="1"/>
    <col min="7" max="7" width="11.7109375" style="17" customWidth="1"/>
    <col min="8" max="8" width="8.421875" style="17" customWidth="1"/>
    <col min="9" max="9" width="9.28125" style="27" customWidth="1"/>
    <col min="10" max="10" width="10.28125" style="18" customWidth="1"/>
    <col min="11" max="11" width="9.28125" style="15" customWidth="1"/>
    <col min="13" max="13" width="9.28125" style="15" customWidth="1"/>
    <col min="14" max="16384" width="6.7109375" style="0" customWidth="1"/>
  </cols>
  <sheetData>
    <row r="1" spans="1:13" s="79" customFormat="1" ht="20.25">
      <c r="A1" s="76" t="s">
        <v>17</v>
      </c>
      <c r="B1" s="76"/>
      <c r="C1" s="76"/>
      <c r="D1" s="76" t="s">
        <v>52</v>
      </c>
      <c r="E1" s="76"/>
      <c r="F1" s="76"/>
      <c r="G1" s="76"/>
      <c r="H1" s="77"/>
      <c r="I1" s="78"/>
      <c r="J1" s="77"/>
      <c r="K1" s="78"/>
      <c r="M1" s="80"/>
    </row>
    <row r="2" spans="1:13" ht="15.75">
      <c r="A2" s="74" t="s">
        <v>8</v>
      </c>
      <c r="B2" s="37" t="s">
        <v>76</v>
      </c>
      <c r="C2" s="82" t="s">
        <v>47</v>
      </c>
      <c r="D2" s="81">
        <v>36915</v>
      </c>
      <c r="F2" s="35"/>
      <c r="G2" s="18"/>
      <c r="H2" s="18"/>
      <c r="I2" s="53">
        <f>CORREL(H5:H24,K5:K24)</f>
        <v>0.9966760937378448</v>
      </c>
      <c r="K2" s="27"/>
      <c r="M2" s="9"/>
    </row>
    <row r="3" spans="1:11" s="12" customFormat="1" ht="14.25" customHeight="1">
      <c r="A3" s="75" t="s">
        <v>2</v>
      </c>
      <c r="B3" s="11">
        <v>500</v>
      </c>
      <c r="C3" s="84"/>
      <c r="D3" s="84"/>
      <c r="F3" s="8"/>
      <c r="H3" s="19"/>
      <c r="I3" s="54">
        <f>I2*I2</f>
        <v>0.9933632358285293</v>
      </c>
      <c r="J3" s="24"/>
      <c r="K3" s="9">
        <f>AVERAGE(K5:K30)</f>
        <v>3.9874058155901984</v>
      </c>
    </row>
    <row r="4" spans="1:13" ht="41.25" customHeight="1" thickBot="1">
      <c r="A4" s="13"/>
      <c r="B4" s="14" t="str">
        <f>CONCATENATE("Time ",B3,"m (Format m:s.00 only!)")</f>
        <v>Time 500m (Format m:s.00 only!)</v>
      </c>
      <c r="C4" s="83" t="s">
        <v>6</v>
      </c>
      <c r="D4" s="83" t="s">
        <v>0</v>
      </c>
      <c r="E4" s="13"/>
      <c r="F4" s="32"/>
      <c r="G4" s="16"/>
      <c r="H4" s="28" t="s">
        <v>3</v>
      </c>
      <c r="I4" s="29" t="s">
        <v>1</v>
      </c>
      <c r="J4" s="29"/>
      <c r="K4" s="87" t="s">
        <v>7</v>
      </c>
      <c r="M4"/>
    </row>
    <row r="5" spans="2:13" ht="16.5" thickTop="1">
      <c r="B5" s="62">
        <v>0.0015641431280177852</v>
      </c>
      <c r="C5" s="23">
        <v>43.50377559560416</v>
      </c>
      <c r="D5" s="20">
        <v>19.3147</v>
      </c>
      <c r="F5" s="17"/>
      <c r="G5" s="25"/>
      <c r="H5" s="30">
        <v>3.699812973235295</v>
      </c>
      <c r="I5" s="31">
        <v>11.493255313006038</v>
      </c>
      <c r="J5" s="31"/>
      <c r="K5" s="88">
        <v>3.6547094324749247</v>
      </c>
      <c r="M5" s="36"/>
    </row>
    <row r="6" spans="2:13" ht="15.75">
      <c r="B6" s="62">
        <v>0.0016203125</v>
      </c>
      <c r="C6" s="23">
        <v>43.886332575000004</v>
      </c>
      <c r="D6" s="20">
        <v>18.8091</v>
      </c>
      <c r="F6" s="17"/>
      <c r="G6" s="25"/>
      <c r="H6" s="30">
        <v>3.571556127004536</v>
      </c>
      <c r="I6" s="31">
        <v>11.393068654017053</v>
      </c>
      <c r="J6" s="31"/>
      <c r="K6" s="88">
        <v>3.612312590676374</v>
      </c>
      <c r="M6" s="36"/>
    </row>
    <row r="7" spans="2:13" ht="15.75">
      <c r="B7" s="62">
        <v>0.0013888310185185188</v>
      </c>
      <c r="C7" s="23">
        <v>53.226182150000014</v>
      </c>
      <c r="D7" s="20">
        <v>26.6142</v>
      </c>
      <c r="F7" s="17"/>
      <c r="G7" s="25"/>
      <c r="H7" s="30">
        <v>4.166840285011874</v>
      </c>
      <c r="I7" s="31">
        <v>9.393873086574553</v>
      </c>
      <c r="J7" s="31"/>
      <c r="K7" s="88">
        <v>4.17274165700029</v>
      </c>
      <c r="M7" s="36"/>
    </row>
    <row r="8" spans="2:13" ht="15.75">
      <c r="B8" s="62">
        <v>0.00128275462962963</v>
      </c>
      <c r="C8" s="23">
        <v>62.38214323333335</v>
      </c>
      <c r="D8" s="20">
        <v>33.7718</v>
      </c>
      <c r="F8" s="17"/>
      <c r="G8" s="25"/>
      <c r="H8" s="30">
        <v>4.511413877109085</v>
      </c>
      <c r="I8" s="31">
        <v>8.01511416704307</v>
      </c>
      <c r="J8" s="31"/>
      <c r="K8" s="88">
        <v>4.509859582209204</v>
      </c>
      <c r="M8" s="36"/>
    </row>
    <row r="9" spans="2:13" ht="15.75">
      <c r="B9" s="62"/>
      <c r="C9" s="23"/>
      <c r="D9" s="20"/>
      <c r="F9" s="17"/>
      <c r="G9" s="25"/>
      <c r="H9" s="30"/>
      <c r="I9" s="31"/>
      <c r="J9" s="31"/>
      <c r="K9" s="88"/>
      <c r="M9" s="36"/>
    </row>
    <row r="10" spans="2:13" ht="15.75">
      <c r="B10" s="62"/>
      <c r="C10" s="23"/>
      <c r="D10" s="20"/>
      <c r="F10" s="17"/>
      <c r="G10" s="25"/>
      <c r="H10" s="30"/>
      <c r="I10" s="31"/>
      <c r="J10" s="31"/>
      <c r="K10" s="88"/>
      <c r="M10" s="36"/>
    </row>
    <row r="11" spans="2:13" ht="15.75">
      <c r="B11" s="62"/>
      <c r="C11" s="23"/>
      <c r="D11" s="20"/>
      <c r="F11" s="17"/>
      <c r="G11" s="25"/>
      <c r="H11" s="30"/>
      <c r="I11" s="31"/>
      <c r="J11" s="31"/>
      <c r="K11" s="88"/>
      <c r="M11" s="36"/>
    </row>
    <row r="12" spans="2:13" ht="15.75">
      <c r="B12" s="63"/>
      <c r="C12" s="23"/>
      <c r="D12" s="20"/>
      <c r="F12" s="17"/>
      <c r="G12" s="25"/>
      <c r="H12" s="30"/>
      <c r="I12" s="31"/>
      <c r="J12" s="31"/>
      <c r="K12" s="88"/>
      <c r="M12"/>
    </row>
    <row r="13" spans="2:13" ht="15.75">
      <c r="B13" s="63"/>
      <c r="C13" s="23"/>
      <c r="D13" s="20"/>
      <c r="F13" s="17"/>
      <c r="G13" s="25"/>
      <c r="H13" s="30"/>
      <c r="I13" s="31"/>
      <c r="J13" s="31"/>
      <c r="K13" s="88"/>
      <c r="M13"/>
    </row>
    <row r="14" spans="2:13" ht="15.75">
      <c r="B14" s="63"/>
      <c r="C14" s="23"/>
      <c r="D14" s="20"/>
      <c r="F14" s="17"/>
      <c r="G14" s="25"/>
      <c r="H14" s="30"/>
      <c r="I14" s="31"/>
      <c r="J14" s="31"/>
      <c r="K14" s="88"/>
      <c r="M14"/>
    </row>
    <row r="15" spans="2:13" ht="15.75">
      <c r="B15" s="63"/>
      <c r="C15" s="23"/>
      <c r="D15" s="20"/>
      <c r="F15" s="17"/>
      <c r="G15" s="25"/>
      <c r="H15" s="30"/>
      <c r="I15" s="31"/>
      <c r="J15" s="31"/>
      <c r="K15" s="88"/>
      <c r="M15"/>
    </row>
    <row r="16" spans="2:13" ht="15.75">
      <c r="B16" s="63"/>
      <c r="C16" s="23"/>
      <c r="D16" s="20"/>
      <c r="F16" s="17"/>
      <c r="G16" s="25"/>
      <c r="H16" s="30"/>
      <c r="I16" s="31"/>
      <c r="J16" s="31"/>
      <c r="K16" s="88"/>
      <c r="M16"/>
    </row>
    <row r="17" spans="2:13" ht="15">
      <c r="B17" s="64"/>
      <c r="C17" s="34"/>
      <c r="D17" s="21"/>
      <c r="F17" s="17"/>
      <c r="G17" s="26"/>
      <c r="H17" s="30"/>
      <c r="I17" s="31"/>
      <c r="J17" s="31"/>
      <c r="K17" s="88"/>
      <c r="M17"/>
    </row>
    <row r="18" spans="2:13" ht="15">
      <c r="B18" s="64"/>
      <c r="C18" s="34"/>
      <c r="D18" s="21"/>
      <c r="F18" s="17"/>
      <c r="G18" s="26"/>
      <c r="H18" s="30"/>
      <c r="I18" s="31"/>
      <c r="J18" s="31"/>
      <c r="K18" s="88"/>
      <c r="M18"/>
    </row>
    <row r="19" spans="2:13" ht="15">
      <c r="B19" s="64"/>
      <c r="C19" s="34"/>
      <c r="D19" s="21"/>
      <c r="F19" s="17"/>
      <c r="G19" s="26"/>
      <c r="H19" s="30"/>
      <c r="I19" s="31"/>
      <c r="J19" s="31"/>
      <c r="K19" s="88"/>
      <c r="M19"/>
    </row>
    <row r="20" spans="2:13" ht="15">
      <c r="B20" s="64"/>
      <c r="C20" s="34"/>
      <c r="D20" s="21"/>
      <c r="F20" s="17"/>
      <c r="G20" s="26"/>
      <c r="H20" s="30"/>
      <c r="I20" s="31"/>
      <c r="J20" s="31"/>
      <c r="K20" s="88"/>
      <c r="M20"/>
    </row>
    <row r="21" spans="2:13" ht="15">
      <c r="B21" s="64"/>
      <c r="C21" s="34"/>
      <c r="D21" s="21"/>
      <c r="F21" s="17"/>
      <c r="G21" s="26"/>
      <c r="H21" s="30"/>
      <c r="I21" s="31"/>
      <c r="J21" s="31"/>
      <c r="K21" s="88"/>
      <c r="M21"/>
    </row>
    <row r="22" spans="2:13" ht="15">
      <c r="B22" s="64"/>
      <c r="C22" s="34"/>
      <c r="D22" s="21"/>
      <c r="F22" s="17"/>
      <c r="G22" s="26"/>
      <c r="H22" s="30"/>
      <c r="I22" s="31"/>
      <c r="J22" s="31"/>
      <c r="K22" s="88"/>
      <c r="M22"/>
    </row>
    <row r="23" spans="2:13" ht="15">
      <c r="B23" s="64"/>
      <c r="C23" s="34"/>
      <c r="D23" s="22"/>
      <c r="F23" s="17"/>
      <c r="G23" s="26"/>
      <c r="H23" s="30"/>
      <c r="I23" s="31"/>
      <c r="J23" s="31"/>
      <c r="K23" s="88"/>
      <c r="M23"/>
    </row>
    <row r="24" spans="1:13" ht="15.75" thickBot="1">
      <c r="A24" s="38"/>
      <c r="B24" s="65"/>
      <c r="C24" s="66"/>
      <c r="D24" s="67"/>
      <c r="E24" s="38"/>
      <c r="F24" s="41"/>
      <c r="G24" s="68"/>
      <c r="H24" s="69"/>
      <c r="I24" s="70"/>
      <c r="J24" s="70"/>
      <c r="K24" s="89"/>
      <c r="M24"/>
    </row>
    <row r="25" spans="2:13" s="18" customFormat="1" ht="16.5" thickTop="1">
      <c r="B25" s="71"/>
      <c r="C25" s="39"/>
      <c r="D25" s="40"/>
      <c r="E25" s="72"/>
      <c r="H25" s="73"/>
      <c r="I25" s="30"/>
      <c r="J25" s="33"/>
      <c r="K25" s="30"/>
      <c r="M25" s="30"/>
    </row>
    <row r="26" spans="2:13" s="18" customFormat="1" ht="15.75">
      <c r="B26" s="71"/>
      <c r="C26" s="39"/>
      <c r="D26" s="40"/>
      <c r="E26" s="72"/>
      <c r="H26" s="73"/>
      <c r="I26" s="30"/>
      <c r="J26" s="33"/>
      <c r="K26" s="30"/>
      <c r="M26" s="30"/>
    </row>
    <row r="27" spans="2:13" s="18" customFormat="1" ht="15.75">
      <c r="B27" s="71"/>
      <c r="C27" s="39"/>
      <c r="D27" s="40"/>
      <c r="E27" s="72"/>
      <c r="H27" s="73"/>
      <c r="I27" s="30"/>
      <c r="J27" s="33"/>
      <c r="K27" s="30"/>
      <c r="M27" s="30"/>
    </row>
    <row r="28" spans="2:13" s="18" customFormat="1" ht="15.75">
      <c r="B28" s="71"/>
      <c r="C28" s="39"/>
      <c r="D28" s="40"/>
      <c r="E28" s="72"/>
      <c r="H28" s="73"/>
      <c r="I28" s="30"/>
      <c r="J28" s="33"/>
      <c r="K28" s="30"/>
      <c r="M28" s="30"/>
    </row>
    <row r="29" spans="2:13" s="18" customFormat="1" ht="15.75">
      <c r="B29" s="71"/>
      <c r="C29" s="39"/>
      <c r="D29" s="40"/>
      <c r="E29" s="72"/>
      <c r="H29" s="73"/>
      <c r="I29" s="30"/>
      <c r="J29" s="33"/>
      <c r="K29" s="30"/>
      <c r="M29" s="30"/>
    </row>
    <row r="30" spans="2:13" s="18" customFormat="1" ht="15.75">
      <c r="B30" s="71"/>
      <c r="C30" s="39"/>
      <c r="D30" s="40"/>
      <c r="E30" s="72"/>
      <c r="H30" s="73"/>
      <c r="I30" s="30"/>
      <c r="J30" s="33"/>
      <c r="K30" s="30"/>
      <c r="M30" s="30"/>
    </row>
    <row r="31" spans="2:13" s="18" customFormat="1" ht="15">
      <c r="B31" s="27"/>
      <c r="C31" s="27"/>
      <c r="I31" s="27"/>
      <c r="K31" s="27"/>
      <c r="M31" s="27"/>
    </row>
    <row r="32" spans="2:13" s="18" customFormat="1" ht="15">
      <c r="B32" s="27"/>
      <c r="C32" s="27"/>
      <c r="I32" s="27"/>
      <c r="K32" s="27"/>
      <c r="M32" s="27"/>
    </row>
    <row r="33" spans="2:13" s="18" customFormat="1" ht="15">
      <c r="B33" s="27"/>
      <c r="C33" s="27"/>
      <c r="I33" s="27"/>
      <c r="K33" s="27"/>
      <c r="M33" s="27"/>
    </row>
    <row r="34" spans="2:13" s="18" customFormat="1" ht="15">
      <c r="B34" s="27"/>
      <c r="C34" s="27"/>
      <c r="I34" s="27"/>
      <c r="K34" s="27"/>
      <c r="M34" s="27"/>
    </row>
    <row r="35" spans="2:13" s="18" customFormat="1" ht="15">
      <c r="B35" s="27"/>
      <c r="C35" s="27"/>
      <c r="I35" s="27"/>
      <c r="K35" s="27"/>
      <c r="M35" s="27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tabSelected="1" workbookViewId="0" topLeftCell="A1">
      <selection activeCell="J4" sqref="J4"/>
    </sheetView>
  </sheetViews>
  <sheetFormatPr defaultColWidth="9.140625" defaultRowHeight="12.75"/>
  <cols>
    <col min="1" max="1" width="1.8515625" style="117" customWidth="1"/>
    <col min="2" max="2" width="7.7109375" style="117" customWidth="1"/>
    <col min="3" max="4" width="7.8515625" style="117" customWidth="1"/>
    <col min="5" max="5" width="9.140625" style="117" customWidth="1"/>
    <col min="6" max="8" width="7.8515625" style="117" customWidth="1"/>
    <col min="9" max="9" width="7.8515625" style="154" customWidth="1"/>
    <col min="10" max="10" width="9.7109375" style="154" customWidth="1"/>
    <col min="11" max="11" width="7.8515625" style="154" customWidth="1"/>
    <col min="12" max="14" width="7.8515625" style="117" customWidth="1"/>
    <col min="15" max="15" width="9.00390625" style="117" customWidth="1"/>
    <col min="16" max="16" width="8.57421875" style="117" customWidth="1"/>
    <col min="17" max="17" width="7.8515625" style="116" customWidth="1"/>
    <col min="18" max="18" width="7.140625" style="116" customWidth="1"/>
    <col min="19" max="22" width="7.140625" style="117" customWidth="1"/>
    <col min="23" max="23" width="7.140625" style="116" customWidth="1"/>
    <col min="24" max="26" width="7.140625" style="117" customWidth="1"/>
    <col min="27" max="27" width="7.57421875" style="117" customWidth="1"/>
    <col min="28" max="16384" width="6.7109375" style="117" customWidth="1"/>
  </cols>
  <sheetData>
    <row r="1" spans="1:17" ht="20.25">
      <c r="A1" s="111"/>
      <c r="B1" s="112" t="s">
        <v>5</v>
      </c>
      <c r="C1" s="111"/>
      <c r="D1" s="111"/>
      <c r="E1" s="111"/>
      <c r="F1" s="111"/>
      <c r="G1" s="111"/>
      <c r="H1" s="111"/>
      <c r="I1" s="113"/>
      <c r="J1" s="191" t="s">
        <v>84</v>
      </c>
      <c r="K1" s="114"/>
      <c r="L1" s="111"/>
      <c r="M1" s="111"/>
      <c r="N1" s="111"/>
      <c r="O1" s="115" t="str">
        <f>Input1!$C$2</f>
        <v>W1x</v>
      </c>
      <c r="P1" s="190">
        <f>Input1!$D$2</f>
        <v>36913</v>
      </c>
      <c r="Q1" s="190"/>
    </row>
    <row r="2" spans="1:18" s="111" customFormat="1" ht="12.75">
      <c r="A2" s="118" t="str">
        <f>Input1!$B$2</f>
        <v>Crew 17</v>
      </c>
      <c r="E2" s="115"/>
      <c r="G2" s="119"/>
      <c r="H2" s="120" t="str">
        <f>Input2!$B$2</f>
        <v>Crew 18</v>
      </c>
      <c r="J2" s="121"/>
      <c r="K2" s="122"/>
      <c r="L2" s="123"/>
      <c r="M2" s="124"/>
      <c r="O2" s="193" t="str">
        <f>Input3!$B$2</f>
        <v>Crew 21</v>
      </c>
      <c r="P2" s="125"/>
      <c r="Q2" s="126"/>
      <c r="R2" s="127"/>
    </row>
    <row r="3" spans="2:17" s="128" customFormat="1" ht="34.5" customHeight="1">
      <c r="B3" s="129"/>
      <c r="C3" s="130" t="s">
        <v>4</v>
      </c>
      <c r="D3" s="131" t="s">
        <v>37</v>
      </c>
      <c r="E3" s="131" t="str">
        <f>CONCATENATE("Time of ",D4,"m")</f>
        <v>Time of 2000m</v>
      </c>
      <c r="F3" s="131" t="s">
        <v>14</v>
      </c>
      <c r="G3" s="132" t="s">
        <v>53</v>
      </c>
      <c r="H3" s="133" t="s">
        <v>4</v>
      </c>
      <c r="I3" s="134" t="s">
        <v>37</v>
      </c>
      <c r="J3" s="134" t="str">
        <f>CONCATENATE("Time of ",I4,"m")</f>
        <v>Time of 2000m</v>
      </c>
      <c r="K3" s="134" t="s">
        <v>14</v>
      </c>
      <c r="L3" s="135" t="s">
        <v>54</v>
      </c>
      <c r="M3" s="136" t="s">
        <v>4</v>
      </c>
      <c r="N3" s="137" t="s">
        <v>37</v>
      </c>
      <c r="O3" s="137" t="str">
        <f>CONCATENATE("Time of ",N4,"m")</f>
        <v>Time of 2000m</v>
      </c>
      <c r="P3" s="137" t="s">
        <v>14</v>
      </c>
      <c r="Q3" s="138" t="s">
        <v>55</v>
      </c>
    </row>
    <row r="4" spans="1:22" s="154" customFormat="1" ht="12.75">
      <c r="A4" s="113"/>
      <c r="B4" s="139"/>
      <c r="C4" s="140">
        <v>39</v>
      </c>
      <c r="D4" s="140">
        <v>2000</v>
      </c>
      <c r="E4" s="141">
        <f>D$4/F4/C!$A$1</f>
        <v>0.006458509832200105</v>
      </c>
      <c r="F4" s="142">
        <f>C!$E$5*C$4^2+C!$E$6*C$4+C!$E$7</f>
        <v>3.5841314404661486</v>
      </c>
      <c r="G4" s="143">
        <f>Input1!$I$3</f>
        <v>0.991164074962403</v>
      </c>
      <c r="H4" s="144">
        <v>39</v>
      </c>
      <c r="I4" s="144">
        <v>2000</v>
      </c>
      <c r="J4" s="145">
        <f>I4/K4/C!$A$1</f>
        <v>0.005333163336104216</v>
      </c>
      <c r="K4" s="146">
        <f>IF(C!$F$1=0,I4/(J4*C!$A$1),C!$F$5*H$4^2+C!$F$6*H$4+C!$F$7)</f>
        <v>4.340416126286781</v>
      </c>
      <c r="L4" s="147">
        <f>IF(ISERROR(Input2!$I$3),"-",Input2!$I$3)</f>
        <v>0.9994106317910774</v>
      </c>
      <c r="M4" s="148">
        <v>39</v>
      </c>
      <c r="N4" s="148">
        <v>2000</v>
      </c>
      <c r="O4" s="192">
        <f>N4/P4/C!$A$1</f>
        <v>0.00497896159027715</v>
      </c>
      <c r="P4" s="149">
        <f>IF(C!G1=0,N4/(O4*C!$A$1),C!$G$5*M$4^2+C!$G$6*M$4+C!$G$7)</f>
        <v>4.649191950657251</v>
      </c>
      <c r="Q4" s="150">
        <f>IF(ISERROR(Input3!$I$3),"-",Input3!$I$3)</f>
        <v>0.9933632358285293</v>
      </c>
      <c r="R4" s="151"/>
      <c r="S4" s="151"/>
      <c r="T4" s="152"/>
      <c r="U4" s="153"/>
      <c r="V4" s="152"/>
    </row>
    <row r="5" spans="1:26" s="165" customFormat="1" ht="33.75" customHeight="1" thickBot="1">
      <c r="A5" s="155"/>
      <c r="B5" s="156" t="s">
        <v>0</v>
      </c>
      <c r="C5" s="157" t="str">
        <f>CONCATENATE("Time ",Input1!$B$3,"m")</f>
        <v>Time 500m</v>
      </c>
      <c r="D5" s="157" t="s">
        <v>3</v>
      </c>
      <c r="E5" s="158" t="s">
        <v>51</v>
      </c>
      <c r="F5" s="158" t="s">
        <v>1</v>
      </c>
      <c r="G5" s="156" t="str">
        <f>CONCATENATE("Strokes at ",Input1!$B$3)</f>
        <v>Strokes at 500</v>
      </c>
      <c r="H5" s="159" t="str">
        <f>CONCATENATE("Time ",Input2!$B$3,"m")</f>
        <v>Time 500m</v>
      </c>
      <c r="I5" s="159" t="s">
        <v>3</v>
      </c>
      <c r="J5" s="160" t="s">
        <v>51</v>
      </c>
      <c r="K5" s="160" t="s">
        <v>1</v>
      </c>
      <c r="L5" s="161" t="str">
        <f>CONCATENATE("Strokes at ",Input1!$B$3)</f>
        <v>Strokes at 500</v>
      </c>
      <c r="M5" s="162" t="str">
        <f>CONCATENATE("Time ",Input3!$B$3,"m")</f>
        <v>Time 500m</v>
      </c>
      <c r="N5" s="162" t="s">
        <v>3</v>
      </c>
      <c r="O5" s="163" t="s">
        <v>51</v>
      </c>
      <c r="P5" s="163" t="s">
        <v>1</v>
      </c>
      <c r="Q5" s="164" t="str">
        <f>CONCATENATE("Strokes at ",Input1!$B$3)</f>
        <v>Strokes at 500</v>
      </c>
      <c r="R5" s="153"/>
      <c r="S5" s="153"/>
      <c r="T5" s="153"/>
      <c r="U5" s="153"/>
      <c r="V5" s="153"/>
      <c r="X5" s="153"/>
      <c r="Y5" s="153"/>
      <c r="Z5" s="153"/>
    </row>
    <row r="6" spans="1:25" ht="13.5" customHeight="1" thickTop="1">
      <c r="A6" s="166"/>
      <c r="B6" s="167">
        <v>16</v>
      </c>
      <c r="C6" s="168">
        <f>Input1!$B$3/D6/C!$A$1</f>
        <v>0.001915829209969904</v>
      </c>
      <c r="D6" s="169">
        <f>C!$E$5*$B6*$B6+C!$E$6*$B6+C!$E$7</f>
        <v>3.0206434931263764</v>
      </c>
      <c r="E6" s="170">
        <f aca="true" t="shared" si="0" ref="E6:E20">D6/$F$4</f>
        <v>0.8427825662368885</v>
      </c>
      <c r="F6" s="171">
        <f aca="true" t="shared" si="1" ref="F6:F20">D6*(60/$B6)</f>
        <v>11.32741309922391</v>
      </c>
      <c r="G6" s="132">
        <f>Input1!$B$3/F6</f>
        <v>44.14070499770659</v>
      </c>
      <c r="H6" s="172">
        <f>Input2!$B$3/I6/C!$A$1</f>
        <v>0.0018797471578922253</v>
      </c>
      <c r="I6" s="173">
        <f>C!$F$5*$B6^2+C!$F$6*$B6+C!$F$7</f>
        <v>3.0786252357078094</v>
      </c>
      <c r="J6" s="174">
        <f aca="true" t="shared" si="2" ref="J6:J20">I6/$K$4</f>
        <v>0.7092926452518662</v>
      </c>
      <c r="K6" s="175">
        <f aca="true" t="shared" si="3" ref="K6:K20">I6*(60/$B6)</f>
        <v>11.544844633904285</v>
      </c>
      <c r="L6" s="135">
        <f>Input2!$B$3/K6</f>
        <v>43.30937451783687</v>
      </c>
      <c r="M6" s="176">
        <f>Input3!$B$3/N6/C!$A$1</f>
        <v>0.0017216234362966946</v>
      </c>
      <c r="N6" s="177">
        <f>C!$G$5*$B6^2+C!$G$6*$B6+C!$G$7</f>
        <v>3.3613837468925656</v>
      </c>
      <c r="O6" s="178">
        <f aca="true" t="shared" si="4" ref="O6:O20">N6/$P$4</f>
        <v>0.7230038644494707</v>
      </c>
      <c r="P6" s="179">
        <f aca="true" t="shared" si="5" ref="P6:P20">N6*(60/$B6)</f>
        <v>12.605189050847121</v>
      </c>
      <c r="Q6" s="138">
        <f>Input3!$B$3/P6</f>
        <v>39.66620397227584</v>
      </c>
      <c r="R6" s="180"/>
      <c r="S6" s="181"/>
      <c r="T6" s="171"/>
      <c r="U6" s="182"/>
      <c r="V6" s="183"/>
      <c r="W6" s="117"/>
      <c r="Y6" s="184"/>
    </row>
    <row r="7" spans="1:25" ht="13.5" customHeight="1">
      <c r="A7" s="166"/>
      <c r="B7" s="167">
        <v>18</v>
      </c>
      <c r="C7" s="168">
        <f>Input1!$B$3/D7/C!$A$1</f>
        <v>0.001750588108689074</v>
      </c>
      <c r="D7" s="169">
        <f>C!$E$5*$B7*$B7+C!$E$6*$B7+C!$E$7</f>
        <v>3.305767363729355</v>
      </c>
      <c r="E7" s="170">
        <f t="shared" si="0"/>
        <v>0.9223343001336497</v>
      </c>
      <c r="F7" s="171">
        <f t="shared" si="1"/>
        <v>11.019224545764517</v>
      </c>
      <c r="G7" s="132">
        <f>Input1!$B$3/F7</f>
        <v>45.37524377722079</v>
      </c>
      <c r="H7" s="172">
        <f>Input2!$B$3/I7/C!$A$1</f>
        <v>0.0018190834723424774</v>
      </c>
      <c r="I7" s="173">
        <f>C!$F$5*$B7^2+C!$F$6*$B7+C!$F$7</f>
        <v>3.1812927361628605</v>
      </c>
      <c r="J7" s="174">
        <f t="shared" si="2"/>
        <v>0.7329464833788761</v>
      </c>
      <c r="K7" s="175">
        <f t="shared" si="3"/>
        <v>10.604309120542869</v>
      </c>
      <c r="L7" s="135">
        <f>Input2!$B$3/K7</f>
        <v>47.15064360311701</v>
      </c>
      <c r="M7" s="176">
        <f>Input3!$B$3/N7/C!$A$1</f>
        <v>0.0016335058637509052</v>
      </c>
      <c r="N7" s="177">
        <f>C!$G$5*$B7^2+C!$G$6*$B7+C!$G$7</f>
        <v>3.5427096807284606</v>
      </c>
      <c r="O7" s="178">
        <f t="shared" si="4"/>
        <v>0.7620054663967213</v>
      </c>
      <c r="P7" s="179">
        <f t="shared" si="5"/>
        <v>11.80903226909487</v>
      </c>
      <c r="Q7" s="138">
        <f>Input3!$B$3/P7</f>
        <v>42.34047198842346</v>
      </c>
      <c r="R7" s="180"/>
      <c r="S7" s="181"/>
      <c r="T7" s="171"/>
      <c r="U7" s="182"/>
      <c r="V7" s="183"/>
      <c r="W7" s="117"/>
      <c r="Y7" s="184"/>
    </row>
    <row r="8" spans="1:25" ht="13.5" customHeight="1">
      <c r="A8" s="166"/>
      <c r="B8" s="167">
        <v>20</v>
      </c>
      <c r="C8" s="168">
        <f>Input1!$B$3/D8/C!$A$1</f>
        <v>0.0016320292336892111</v>
      </c>
      <c r="D8" s="169">
        <f>C!$E$5*$B8*$B8+C!$E$6*$B8+C!$E$7</f>
        <v>3.5459150593494013</v>
      </c>
      <c r="E8" s="170">
        <f t="shared" si="0"/>
        <v>0.9893373382780357</v>
      </c>
      <c r="F8" s="171">
        <f t="shared" si="1"/>
        <v>10.637745178048204</v>
      </c>
      <c r="G8" s="132">
        <f>Input1!$B$3/F8</f>
        <v>47.002441930249276</v>
      </c>
      <c r="H8" s="172">
        <f>Input2!$B$3/I8/C!$A$1</f>
        <v>0.001761492232370371</v>
      </c>
      <c r="I8" s="173">
        <f>C!$F$5*$B8^2+C!$F$6*$B8+C!$F$7</f>
        <v>3.2853037502468285</v>
      </c>
      <c r="J8" s="174">
        <f t="shared" si="2"/>
        <v>0.7569098571793853</v>
      </c>
      <c r="K8" s="175">
        <f t="shared" si="3"/>
        <v>9.855911250740485</v>
      </c>
      <c r="L8" s="135">
        <f>Input2!$B$3/K8</f>
        <v>50.73097629226668</v>
      </c>
      <c r="M8" s="176">
        <f>Input3!$B$3/N8/C!$A$1</f>
        <v>0.0015595004187337112</v>
      </c>
      <c r="N8" s="177">
        <f>C!$G$5*$B8^2+C!$G$6*$B8+C!$G$7</f>
        <v>3.71082749803685</v>
      </c>
      <c r="O8" s="178">
        <f t="shared" si="4"/>
        <v>0.7981661194935724</v>
      </c>
      <c r="P8" s="179">
        <f t="shared" si="5"/>
        <v>11.132482494110551</v>
      </c>
      <c r="Q8" s="138">
        <f>Input3!$B$3/P8</f>
        <v>44.91361205953088</v>
      </c>
      <c r="R8" s="180"/>
      <c r="S8" s="181"/>
      <c r="T8" s="171"/>
      <c r="U8" s="182"/>
      <c r="V8" s="183"/>
      <c r="W8" s="117"/>
      <c r="Y8" s="184"/>
    </row>
    <row r="9" spans="1:25" ht="13.5" customHeight="1">
      <c r="A9" s="166"/>
      <c r="B9" s="167">
        <v>22</v>
      </c>
      <c r="C9" s="168">
        <f>Input1!$B$3/D9/C!$A$1</f>
        <v>0.0015468866900850752</v>
      </c>
      <c r="D9" s="169">
        <f>C!$E$5*$B9*$B9+C!$E$6*$B9+C!$E$7</f>
        <v>3.741086579986517</v>
      </c>
      <c r="E9" s="170">
        <f t="shared" si="0"/>
        <v>1.043791680670047</v>
      </c>
      <c r="F9" s="171">
        <f t="shared" si="1"/>
        <v>10.202963399963227</v>
      </c>
      <c r="G9" s="132">
        <f>Input1!$B$3/F9</f>
        <v>49.00537034189519</v>
      </c>
      <c r="H9" s="172">
        <f>Input2!$B$3/I9/C!$A$1</f>
        <v>0.0017067591489990297</v>
      </c>
      <c r="I9" s="173">
        <f>C!$F$5*$B9^2+C!$F$6*$B9+C!$F$7</f>
        <v>3.390658277959714</v>
      </c>
      <c r="J9" s="174">
        <f t="shared" si="2"/>
        <v>0.7811827666533938</v>
      </c>
      <c r="K9" s="175">
        <f t="shared" si="3"/>
        <v>9.247249848981038</v>
      </c>
      <c r="L9" s="135">
        <f>Input2!$B$3/K9</f>
        <v>54.07012984028926</v>
      </c>
      <c r="M9" s="176">
        <f>Input3!$B$3/N9/C!$A$1</f>
        <v>0.001497007359632956</v>
      </c>
      <c r="N9" s="177">
        <f>C!$G$5*$B9^2+C!$G$6*$B9+C!$G$7</f>
        <v>3.865737198817735</v>
      </c>
      <c r="O9" s="178">
        <f t="shared" si="4"/>
        <v>0.8314858237400243</v>
      </c>
      <c r="P9" s="179">
        <f t="shared" si="5"/>
        <v>10.542919633139276</v>
      </c>
      <c r="Q9" s="138">
        <f>Input3!$B$3/P9</f>
        <v>47.42519315317205</v>
      </c>
      <c r="R9" s="180"/>
      <c r="S9" s="181"/>
      <c r="T9" s="171"/>
      <c r="U9" s="182"/>
      <c r="V9" s="183"/>
      <c r="W9" s="117"/>
      <c r="Y9" s="184"/>
    </row>
    <row r="10" spans="1:25" ht="13.5" customHeight="1">
      <c r="A10" s="166"/>
      <c r="B10" s="167">
        <v>24</v>
      </c>
      <c r="C10" s="168">
        <f>Input1!$B$3/D10/C!$A$1</f>
        <v>0.0014871800983898634</v>
      </c>
      <c r="D10" s="169">
        <f>C!$E$5*$B10*$B10+C!$E$6*$B10+C!$E$7</f>
        <v>3.8912819256407025</v>
      </c>
      <c r="E10" s="170">
        <f t="shared" si="0"/>
        <v>1.0856973273096833</v>
      </c>
      <c r="F10" s="171">
        <f t="shared" si="1"/>
        <v>9.728204814101757</v>
      </c>
      <c r="G10" s="132">
        <f>Input1!$B$3/F10</f>
        <v>51.39694420035368</v>
      </c>
      <c r="H10" s="172">
        <f>Input2!$B$3/I10/C!$A$1</f>
        <v>0.0016546890018323348</v>
      </c>
      <c r="I10" s="173">
        <f>C!$F$5*$B10^2+C!$F$6*$B10+C!$F$7</f>
        <v>3.4973563193015176</v>
      </c>
      <c r="J10" s="174">
        <f t="shared" si="2"/>
        <v>0.8057652118009017</v>
      </c>
      <c r="K10" s="175">
        <f t="shared" si="3"/>
        <v>8.743390798253794</v>
      </c>
      <c r="L10" s="135">
        <f>Input2!$B$3/K10</f>
        <v>57.1860519033255</v>
      </c>
      <c r="M10" s="176">
        <f>Input3!$B$3/N10/C!$A$1</f>
        <v>0.001444073721471079</v>
      </c>
      <c r="N10" s="177">
        <f>C!$G$5*$B10^2+C!$G$6*$B10+C!$G$7</f>
        <v>4.007438783071115</v>
      </c>
      <c r="O10" s="178">
        <f t="shared" si="4"/>
        <v>0.8619645791360773</v>
      </c>
      <c r="P10" s="179">
        <f t="shared" si="5"/>
        <v>10.018596957677788</v>
      </c>
      <c r="Q10" s="138">
        <f>Input3!$B$3/P10</f>
        <v>49.90718781404048</v>
      </c>
      <c r="R10" s="180"/>
      <c r="S10" s="181"/>
      <c r="T10" s="171"/>
      <c r="U10" s="182"/>
      <c r="V10" s="183"/>
      <c r="W10" s="117"/>
      <c r="Y10" s="184"/>
    </row>
    <row r="11" spans="1:25" ht="13.5" customHeight="1">
      <c r="A11" s="166"/>
      <c r="B11" s="167">
        <v>26</v>
      </c>
      <c r="C11" s="168">
        <f>Input1!$B$3/D11/C!$A$1</f>
        <v>0.0014480258850366442</v>
      </c>
      <c r="D11" s="169">
        <f>C!$E$5*$B11*$B11+C!$E$6*$B11+C!$E$7</f>
        <v>3.9965010963119547</v>
      </c>
      <c r="E11" s="170">
        <f t="shared" si="0"/>
        <v>1.1150542781969441</v>
      </c>
      <c r="F11" s="171">
        <f t="shared" si="1"/>
        <v>9.222694837642972</v>
      </c>
      <c r="G11" s="132">
        <f>Input1!$B$3/F11</f>
        <v>54.21408913577196</v>
      </c>
      <c r="H11" s="172">
        <f>Input2!$B$3/I11/C!$A$1</f>
        <v>0.001605103580476585</v>
      </c>
      <c r="I11" s="173">
        <f>C!$F$5*$B11^2+C!$F$6*$B11+C!$F$7</f>
        <v>3.6053978742722377</v>
      </c>
      <c r="J11" s="174">
        <f t="shared" si="2"/>
        <v>0.8306571926219087</v>
      </c>
      <c r="K11" s="175">
        <f t="shared" si="3"/>
        <v>8.32014894062824</v>
      </c>
      <c r="L11" s="135">
        <f>Input2!$B$3/K11</f>
        <v>60.095078053043345</v>
      </c>
      <c r="M11" s="176">
        <f>Input3!$B$3/N11/C!$A$1</f>
        <v>0.0013992098240782063</v>
      </c>
      <c r="N11" s="177">
        <f>C!$G$5*$B11^2+C!$G$6*$B11+C!$G$7</f>
        <v>4.135932250796991</v>
      </c>
      <c r="O11" s="178">
        <f t="shared" si="4"/>
        <v>0.889602385681731</v>
      </c>
      <c r="P11" s="179">
        <f t="shared" si="5"/>
        <v>9.544459040300747</v>
      </c>
      <c r="Q11" s="138">
        <f>Input3!$B$3/P11</f>
        <v>52.38641581348804</v>
      </c>
      <c r="R11" s="180"/>
      <c r="S11" s="181"/>
      <c r="T11" s="171"/>
      <c r="U11" s="182"/>
      <c r="V11" s="183"/>
      <c r="W11" s="117"/>
      <c r="Y11" s="184"/>
    </row>
    <row r="12" spans="1:25" ht="13.5" customHeight="1">
      <c r="A12" s="166"/>
      <c r="B12" s="167">
        <v>28</v>
      </c>
      <c r="C12" s="168">
        <f>Input1!$B$3/D12/C!$A$1</f>
        <v>0.0014265225771694157</v>
      </c>
      <c r="D12" s="169">
        <f>C!$E$5*$B12*$B12+C!$E$6*$B12+C!$E$7</f>
        <v>4.056744092000278</v>
      </c>
      <c r="E12" s="170">
        <f t="shared" si="0"/>
        <v>1.1318625333318304</v>
      </c>
      <c r="F12" s="171">
        <f t="shared" si="1"/>
        <v>8.693023054286309</v>
      </c>
      <c r="G12" s="132">
        <f>Input1!$B$3/F12</f>
        <v>57.51739031147084</v>
      </c>
      <c r="H12" s="172">
        <f>Input2!$B$3/I12/C!$A$1</f>
        <v>0.0015578398862150249</v>
      </c>
      <c r="I12" s="173">
        <f>C!$F$5*$B12^2+C!$F$6*$B12+C!$F$7</f>
        <v>3.7147829428718753</v>
      </c>
      <c r="J12" s="174">
        <f t="shared" si="2"/>
        <v>0.855858709116415</v>
      </c>
      <c r="K12" s="175">
        <f t="shared" si="3"/>
        <v>7.960249163296876</v>
      </c>
      <c r="L12" s="135">
        <f>Input2!$B$3/K12</f>
        <v>62.812104212189794</v>
      </c>
      <c r="M12" s="176">
        <f>Input3!$B$3/N12/C!$A$1</f>
        <v>0.0013612657781433774</v>
      </c>
      <c r="N12" s="177">
        <f>C!$G$5*$B12^2+C!$G$6*$B12+C!$G$7</f>
        <v>4.251217601995361</v>
      </c>
      <c r="O12" s="178">
        <f t="shared" si="4"/>
        <v>0.9143992433769853</v>
      </c>
      <c r="P12" s="179">
        <f t="shared" si="5"/>
        <v>9.109752004275773</v>
      </c>
      <c r="Q12" s="138">
        <f>Input3!$B$3/P12</f>
        <v>54.88623617474097</v>
      </c>
      <c r="R12" s="180"/>
      <c r="S12" s="181"/>
      <c r="T12" s="171"/>
      <c r="U12" s="182"/>
      <c r="V12" s="183"/>
      <c r="W12" s="117"/>
      <c r="Y12" s="184"/>
    </row>
    <row r="13" spans="1:25" ht="13.5" customHeight="1">
      <c r="A13" s="166"/>
      <c r="B13" s="167">
        <v>30</v>
      </c>
      <c r="C13" s="168">
        <f>Input1!$B$3/D13/C!$A$1</f>
        <v>0.001421174245623967</v>
      </c>
      <c r="D13" s="169">
        <f>C!$E$5*$B13*$B13+C!$E$6*$B13+C!$E$7</f>
        <v>4.072010912705666</v>
      </c>
      <c r="E13" s="170">
        <f t="shared" si="0"/>
        <v>1.136122092714341</v>
      </c>
      <c r="F13" s="171">
        <f t="shared" si="1"/>
        <v>8.144021825411333</v>
      </c>
      <c r="G13" s="132">
        <f>Input1!$B$3/F13</f>
        <v>61.394727410955376</v>
      </c>
      <c r="H13" s="172">
        <f>Input2!$B$3/I13/C!$A$1</f>
        <v>0.001512748556386877</v>
      </c>
      <c r="I13" s="173">
        <f>C!$F$5*$B13^2+C!$F$6*$B13+C!$F$7</f>
        <v>3.8255115251004304</v>
      </c>
      <c r="J13" s="174">
        <f t="shared" si="2"/>
        <v>0.8813697612844207</v>
      </c>
      <c r="K13" s="175">
        <f t="shared" si="3"/>
        <v>7.651023050200861</v>
      </c>
      <c r="L13" s="135">
        <f>Input2!$B$3/K13</f>
        <v>65.35073763591309</v>
      </c>
      <c r="M13" s="176">
        <f>Input3!$B$3/N13/C!$A$1</f>
        <v>0.0013293464500256033</v>
      </c>
      <c r="N13" s="177">
        <f>C!$G$5*$B13^2+C!$G$6*$B13+C!$G$7</f>
        <v>4.353294836666227</v>
      </c>
      <c r="O13" s="178">
        <f t="shared" si="4"/>
        <v>0.9363551522218407</v>
      </c>
      <c r="P13" s="179">
        <f t="shared" si="5"/>
        <v>8.706589673332454</v>
      </c>
      <c r="Q13" s="138">
        <f>Input3!$B$3/P13</f>
        <v>57.42776664110606</v>
      </c>
      <c r="R13" s="180"/>
      <c r="S13" s="181"/>
      <c r="T13" s="171"/>
      <c r="U13" s="182"/>
      <c r="V13" s="183"/>
      <c r="W13" s="117"/>
      <c r="Y13" s="184"/>
    </row>
    <row r="14" spans="1:25" ht="13.5" customHeight="1">
      <c r="A14" s="166"/>
      <c r="B14" s="167">
        <v>32</v>
      </c>
      <c r="C14" s="168">
        <f>Input1!$B$3/D14/C!$A$1</f>
        <v>0.001431619327106155</v>
      </c>
      <c r="D14" s="169">
        <f>C!$E$5*$B14*$B14+C!$E$6*$B14+C!$E$7</f>
        <v>4.042301558428127</v>
      </c>
      <c r="E14" s="170">
        <f t="shared" si="0"/>
        <v>1.1278329563444776</v>
      </c>
      <c r="F14" s="171">
        <f t="shared" si="1"/>
        <v>7.579315422052738</v>
      </c>
      <c r="G14" s="132">
        <f>Input1!$B$3/F14</f>
        <v>65.96901859305163</v>
      </c>
      <c r="H14" s="172">
        <f>Input2!$B$3/I14/C!$A$1</f>
        <v>0.0014696924799857873</v>
      </c>
      <c r="I14" s="173">
        <f>C!$F$5*$B14^2+C!$F$6*$B14+C!$F$7</f>
        <v>3.9375836209579034</v>
      </c>
      <c r="J14" s="174">
        <f t="shared" si="2"/>
        <v>0.9071903491259258</v>
      </c>
      <c r="K14" s="175">
        <f t="shared" si="3"/>
        <v>7.382969289296069</v>
      </c>
      <c r="L14" s="135">
        <f>Input2!$B$3/K14</f>
        <v>67.72342947774507</v>
      </c>
      <c r="M14" s="176">
        <f>Input3!$B$3/N14/C!$A$1</f>
        <v>0.0013027517885221994</v>
      </c>
      <c r="N14" s="177">
        <f>C!$G$5*$B14^2+C!$G$6*$B14+C!$G$7</f>
        <v>4.442163954809588</v>
      </c>
      <c r="O14" s="178">
        <f t="shared" si="4"/>
        <v>0.9554701122162969</v>
      </c>
      <c r="P14" s="179">
        <f t="shared" si="5"/>
        <v>8.329057415267977</v>
      </c>
      <c r="Q14" s="138">
        <f>Input3!$B$3/P14</f>
        <v>60.03080241510295</v>
      </c>
      <c r="R14" s="180"/>
      <c r="S14" s="181"/>
      <c r="T14" s="171"/>
      <c r="U14" s="182"/>
      <c r="V14" s="183"/>
      <c r="W14" s="117"/>
      <c r="Y14" s="184"/>
    </row>
    <row r="15" spans="1:25" ht="13.5" customHeight="1">
      <c r="A15" s="166"/>
      <c r="B15" s="167">
        <v>34</v>
      </c>
      <c r="C15" s="168">
        <f>Input1!$B$3/D15/C!$A$1</f>
        <v>0.0014585678136427602</v>
      </c>
      <c r="D15" s="169">
        <f>C!$E$5*$B15*$B15+C!$E$6*$B15+C!$E$7</f>
        <v>3.967616029167656</v>
      </c>
      <c r="E15" s="170">
        <f t="shared" si="0"/>
        <v>1.106995124222239</v>
      </c>
      <c r="F15" s="171">
        <f t="shared" si="1"/>
        <v>7.001675345589981</v>
      </c>
      <c r="G15" s="132">
        <f>Input1!$B$3/F15</f>
        <v>71.41148015594953</v>
      </c>
      <c r="H15" s="172">
        <f>Input2!$B$3/I15/C!$A$1</f>
        <v>0.0014285455779764103</v>
      </c>
      <c r="I15" s="173">
        <f>C!$F$5*$B15^2+C!$F$6*$B15+C!$F$7</f>
        <v>4.050999230444294</v>
      </c>
      <c r="J15" s="174">
        <f t="shared" si="2"/>
        <v>0.9333204726409301</v>
      </c>
      <c r="K15" s="175">
        <f t="shared" si="3"/>
        <v>7.1488221713722835</v>
      </c>
      <c r="L15" s="135">
        <f>Input2!$B$3/K15</f>
        <v>69.94159149772504</v>
      </c>
      <c r="M15" s="176">
        <f>Input3!$B$3/N15/C!$A$1</f>
        <v>0.0012809343196899352</v>
      </c>
      <c r="N15" s="177">
        <f>C!$G$5*$B15^2+C!$G$6*$B15+C!$G$7</f>
        <v>4.517824956425444</v>
      </c>
      <c r="O15" s="178">
        <f t="shared" si="4"/>
        <v>0.9717441233603539</v>
      </c>
      <c r="P15" s="179">
        <f t="shared" si="5"/>
        <v>7.972632276044901</v>
      </c>
      <c r="Q15" s="138">
        <f>Input3!$B$3/P15</f>
        <v>62.71454429201923</v>
      </c>
      <c r="R15" s="180"/>
      <c r="S15" s="181"/>
      <c r="T15" s="171"/>
      <c r="U15" s="182"/>
      <c r="V15" s="183"/>
      <c r="W15" s="117"/>
      <c r="Y15" s="184"/>
    </row>
    <row r="16" spans="1:25" ht="13.5" customHeight="1">
      <c r="A16" s="166"/>
      <c r="B16" s="167">
        <v>36</v>
      </c>
      <c r="C16" s="168">
        <f>Input1!$B$3/D16/C!$A$1</f>
        <v>0.0015039256052372604</v>
      </c>
      <c r="D16" s="169">
        <f>C!$E$5*$B16*$B16+C!$E$6*$B16+C!$E$7</f>
        <v>3.8479543249242503</v>
      </c>
      <c r="E16" s="170">
        <f t="shared" si="0"/>
        <v>1.0736085963476243</v>
      </c>
      <c r="F16" s="171">
        <f t="shared" si="1"/>
        <v>6.413257208207084</v>
      </c>
      <c r="G16" s="132">
        <f>Input1!$B$3/F16</f>
        <v>77.96350337549957</v>
      </c>
      <c r="H16" s="172">
        <f>Input2!$B$3/I16/C!$A$1</f>
        <v>0.001389191725941585</v>
      </c>
      <c r="I16" s="173">
        <f>C!$F$5*$B16^2+C!$F$6*$B16+C!$F$7</f>
        <v>4.165758353559601</v>
      </c>
      <c r="J16" s="174">
        <f t="shared" si="2"/>
        <v>0.9597601318294335</v>
      </c>
      <c r="K16" s="175">
        <f t="shared" si="3"/>
        <v>6.942930589266001</v>
      </c>
      <c r="L16" s="135">
        <f>Input2!$B$3/K16</f>
        <v>72.01569907281177</v>
      </c>
      <c r="M16" s="176">
        <f>Input3!$B$3/N16/C!$A$1</f>
        <v>0.0012634685574280367</v>
      </c>
      <c r="N16" s="177">
        <f>C!$G$5*$B16^2+C!$G$6*$B16+C!$G$7</f>
        <v>4.580277841513795</v>
      </c>
      <c r="O16" s="178">
        <f t="shared" si="4"/>
        <v>0.9851771856540117</v>
      </c>
      <c r="P16" s="179">
        <f t="shared" si="5"/>
        <v>7.633796402522992</v>
      </c>
      <c r="Q16" s="138">
        <f>Input3!$B$3/P16</f>
        <v>65.49821001706943</v>
      </c>
      <c r="R16" s="180"/>
      <c r="S16" s="181"/>
      <c r="T16" s="171"/>
      <c r="U16" s="182"/>
      <c r="V16" s="183"/>
      <c r="W16" s="117"/>
      <c r="Y16" s="184"/>
    </row>
    <row r="17" spans="1:25" ht="13.5" customHeight="1">
      <c r="A17" s="166"/>
      <c r="B17" s="167">
        <v>38</v>
      </c>
      <c r="C17" s="168">
        <f>Input1!$B$3/D17/C!$A$1</f>
        <v>0.0015711484805483512</v>
      </c>
      <c r="D17" s="169">
        <f>C!$E$5*$B17*$B17+C!$E$6*$B17+C!$E$7</f>
        <v>3.6833164456979177</v>
      </c>
      <c r="E17" s="170">
        <f t="shared" si="0"/>
        <v>1.0276733727206357</v>
      </c>
      <c r="F17" s="171">
        <f t="shared" si="1"/>
        <v>5.815762808996713</v>
      </c>
      <c r="G17" s="132">
        <f>Input1!$B$3/F17</f>
        <v>85.97324485560577</v>
      </c>
      <c r="H17" s="172">
        <f>Input2!$B$3/I17/C!$A$1</f>
        <v>0.0013515238000817045</v>
      </c>
      <c r="I17" s="173">
        <f>C!$F$5*$B17^2+C!$F$6*$B17+C!$F$7</f>
        <v>4.281860990303826</v>
      </c>
      <c r="J17" s="174">
        <f t="shared" si="2"/>
        <v>0.9865093266914365</v>
      </c>
      <c r="K17" s="175">
        <f t="shared" si="3"/>
        <v>6.760833142584988</v>
      </c>
      <c r="L17" s="135">
        <f>Input2!$B$3/K17</f>
        <v>73.95538234047086</v>
      </c>
      <c r="M17" s="176">
        <f>Input3!$B$3/N17/C!$A$1</f>
        <v>0.0012500288959478119</v>
      </c>
      <c r="N17" s="177">
        <f>C!$G$5*$B17^2+C!$G$6*$B17+C!$G$7</f>
        <v>4.629522610074642</v>
      </c>
      <c r="O17" s="178">
        <f t="shared" si="4"/>
        <v>0.9957692990972704</v>
      </c>
      <c r="P17" s="179">
        <f t="shared" si="5"/>
        <v>7.3097725422231195</v>
      </c>
      <c r="Q17" s="138">
        <f>Input3!$B$3/P17</f>
        <v>68.40158118626427</v>
      </c>
      <c r="R17" s="180"/>
      <c r="S17" s="181"/>
      <c r="T17" s="171"/>
      <c r="U17" s="182"/>
      <c r="V17" s="183"/>
      <c r="W17" s="117"/>
      <c r="Y17" s="184"/>
    </row>
    <row r="18" spans="1:25" ht="13.5" customHeight="1">
      <c r="A18" s="166"/>
      <c r="B18" s="167">
        <v>40</v>
      </c>
      <c r="C18" s="168">
        <f>Input1!$B$3/D18/C!$A$1</f>
        <v>0.0016659564881598887</v>
      </c>
      <c r="D18" s="169">
        <f>C!$E$5*$B18*$B18+C!$E$6*$B18+C!$E$7</f>
        <v>3.4737023914886493</v>
      </c>
      <c r="E18" s="170">
        <f t="shared" si="0"/>
        <v>0.9691894533412712</v>
      </c>
      <c r="F18" s="171">
        <f t="shared" si="1"/>
        <v>5.210553587232974</v>
      </c>
      <c r="G18" s="132">
        <f>Input1!$B$3/F18</f>
        <v>95.95909371800958</v>
      </c>
      <c r="H18" s="172">
        <f>Input2!$B$3/I18/C!$A$1</f>
        <v>0.0013154428304240939</v>
      </c>
      <c r="I18" s="173">
        <f>C!$F$5*$B18^2+C!$F$6*$B18+C!$F$7</f>
        <v>4.399307140676967</v>
      </c>
      <c r="J18" s="174">
        <f t="shared" si="2"/>
        <v>1.0135680572269385</v>
      </c>
      <c r="K18" s="175">
        <f t="shared" si="3"/>
        <v>6.598960711015451</v>
      </c>
      <c r="L18" s="135">
        <f>Input2!$B$3/K18</f>
        <v>75.76950703242781</v>
      </c>
      <c r="M18" s="176">
        <f>Input3!$B$3/N18/C!$A$1</f>
        <v>0.0012403737069717016</v>
      </c>
      <c r="N18" s="177">
        <f>C!$G$5*$B18^2+C!$G$6*$B18+C!$G$7</f>
        <v>4.665559262107984</v>
      </c>
      <c r="O18" s="178">
        <f t="shared" si="4"/>
        <v>1.00352046369013</v>
      </c>
      <c r="P18" s="179">
        <f t="shared" si="5"/>
        <v>6.998338893161977</v>
      </c>
      <c r="Q18" s="138">
        <f>Input3!$B$3/P18</f>
        <v>71.44552552157</v>
      </c>
      <c r="R18" s="180"/>
      <c r="S18" s="181"/>
      <c r="T18" s="171"/>
      <c r="U18" s="182"/>
      <c r="V18" s="183"/>
      <c r="W18" s="117"/>
      <c r="Y18" s="184"/>
    </row>
    <row r="19" spans="1:25" ht="13.5" customHeight="1">
      <c r="A19" s="166"/>
      <c r="B19" s="167">
        <v>42</v>
      </c>
      <c r="C19" s="168">
        <f>Input1!$B$3/D19/C!$A$1</f>
        <v>0.0017977121470998001</v>
      </c>
      <c r="D19" s="169">
        <f>C!$E$5*$B19*$B19+C!$E$6*$B19+C!$E$7</f>
        <v>3.219112162296453</v>
      </c>
      <c r="E19" s="170">
        <f t="shared" si="0"/>
        <v>0.8981568382095324</v>
      </c>
      <c r="F19" s="171">
        <f t="shared" si="1"/>
        <v>4.598731660423504</v>
      </c>
      <c r="G19" s="132">
        <f>Input1!$B$3/F19</f>
        <v>108.72563065659592</v>
      </c>
      <c r="H19" s="172">
        <f>Input2!$B$3/I19/C!$A$1</f>
        <v>0.0012808572474684188</v>
      </c>
      <c r="I19" s="173">
        <f>C!$F$5*$B19^2+C!$F$6*$B19+C!$F$7</f>
        <v>4.518096804679027</v>
      </c>
      <c r="J19" s="174">
        <f t="shared" si="2"/>
        <v>1.0409363234359401</v>
      </c>
      <c r="K19" s="175">
        <f t="shared" si="3"/>
        <v>6.454424006684325</v>
      </c>
      <c r="L19" s="135">
        <f>Input2!$B$3/K19</f>
        <v>77.46624632688997</v>
      </c>
      <c r="M19" s="176">
        <f>Input3!$B$3/N19/C!$A$1</f>
        <v>0.001234334122271707</v>
      </c>
      <c r="N19" s="177">
        <f>C!$G$5*$B19^2+C!$G$6*$B19+C!$G$7</f>
        <v>4.688387797613821</v>
      </c>
      <c r="O19" s="178">
        <f t="shared" si="4"/>
        <v>1.0084306794325901</v>
      </c>
      <c r="P19" s="179">
        <f t="shared" si="5"/>
        <v>6.69769685373403</v>
      </c>
      <c r="Q19" s="138">
        <f>Input3!$B$3/P19</f>
        <v>74.65252771499284</v>
      </c>
      <c r="R19" s="180"/>
      <c r="S19" s="181"/>
      <c r="T19" s="171"/>
      <c r="U19" s="182"/>
      <c r="V19" s="183"/>
      <c r="W19" s="117"/>
      <c r="Y19" s="184"/>
    </row>
    <row r="20" spans="1:25" ht="13.5" customHeight="1">
      <c r="A20" s="166"/>
      <c r="B20" s="167">
        <v>44</v>
      </c>
      <c r="C20" s="168">
        <f>Input1!$B$3/D20/C!$A$1</f>
        <v>0.00198217034993858</v>
      </c>
      <c r="D20" s="169">
        <f>C!$E$5*$B20*$B20+C!$E$6*$B20+C!$E$7</f>
        <v>2.919545758121322</v>
      </c>
      <c r="E20" s="170">
        <f t="shared" si="0"/>
        <v>0.8145755273254177</v>
      </c>
      <c r="F20" s="171">
        <f t="shared" si="1"/>
        <v>3.9811987610745296</v>
      </c>
      <c r="G20" s="132">
        <f>Input1!$B$3/F20</f>
        <v>125.59031337210843</v>
      </c>
      <c r="H20" s="172">
        <f>Input2!$B$3/I20/C!$A$1</f>
        <v>0.0012476822104786802</v>
      </c>
      <c r="I20" s="173">
        <f>C!$F$5*$B20^2+C!$F$6*$B20+C!$F$7</f>
        <v>4.638229982310005</v>
      </c>
      <c r="J20" s="174">
        <f t="shared" si="2"/>
        <v>1.068614125318441</v>
      </c>
      <c r="K20" s="175">
        <f t="shared" si="3"/>
        <v>6.324859066786369</v>
      </c>
      <c r="L20" s="135">
        <f>Input2!$B$3/K20</f>
        <v>79.05314485592919</v>
      </c>
      <c r="M20" s="176">
        <f>Input3!$B$3/N20/C!$A$1</f>
        <v>0.0012318064954843447</v>
      </c>
      <c r="N20" s="177">
        <f>C!$G$5*$B20^2+C!$G$6*$B20+C!$G$7</f>
        <v>4.698008216592154</v>
      </c>
      <c r="O20" s="178">
        <f t="shared" si="4"/>
        <v>1.0104999463246516</v>
      </c>
      <c r="P20" s="179">
        <f t="shared" si="5"/>
        <v>6.406374840807482</v>
      </c>
      <c r="Q20" s="138">
        <f>Input3!$B$3/P20</f>
        <v>78.04725955388808</v>
      </c>
      <c r="R20" s="180"/>
      <c r="S20" s="181"/>
      <c r="T20" s="171"/>
      <c r="U20" s="182"/>
      <c r="V20" s="183"/>
      <c r="W20" s="117"/>
      <c r="Y20" s="184"/>
    </row>
    <row r="21" spans="2:8" ht="17.25" customHeight="1">
      <c r="B21" s="185"/>
      <c r="C21" s="185"/>
      <c r="D21" s="185"/>
      <c r="E21" s="185"/>
      <c r="F21" s="186"/>
      <c r="H21" s="154"/>
    </row>
    <row r="22" ht="17.25" customHeight="1">
      <c r="J22" s="187"/>
    </row>
    <row r="23" ht="17.25" customHeight="1"/>
    <row r="24" ht="17.25" customHeight="1"/>
    <row r="25" ht="17.25" customHeight="1"/>
    <row r="26" spans="3:6" ht="17.25" customHeight="1">
      <c r="C26" s="188"/>
      <c r="D26" s="188"/>
      <c r="E26" s="188"/>
      <c r="F26" s="188"/>
    </row>
    <row r="27" spans="3:6" ht="17.25" customHeight="1">
      <c r="C27" s="188"/>
      <c r="D27" s="188"/>
      <c r="E27" s="188"/>
      <c r="F27" s="188"/>
    </row>
    <row r="28" ht="17.25" customHeight="1"/>
    <row r="29" ht="17.25" customHeight="1"/>
    <row r="30" ht="17.25" customHeight="1"/>
    <row r="31" ht="17.25" customHeight="1"/>
    <row r="32" ht="17.25" customHeight="1">
      <c r="R32" s="189"/>
    </row>
    <row r="33" ht="17.25" customHeight="1"/>
    <row r="34" ht="17.25" customHeight="1"/>
  </sheetData>
  <mergeCells count="1">
    <mergeCell ref="P1:Q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12"/>
  <sheetViews>
    <sheetView workbookViewId="0" topLeftCell="A1">
      <selection activeCell="F4" sqref="F4:G4"/>
    </sheetView>
  </sheetViews>
  <sheetFormatPr defaultColWidth="9.140625" defaultRowHeight="12.75"/>
  <cols>
    <col min="1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3">
        <f>24*60*60</f>
        <v>86400</v>
      </c>
      <c r="B1" s="47"/>
      <c r="C1" s="47"/>
      <c r="E1" s="56">
        <v>0</v>
      </c>
      <c r="F1" s="56">
        <v>1</v>
      </c>
      <c r="G1" s="57">
        <v>1</v>
      </c>
      <c r="I1" s="18" t="s">
        <v>36</v>
      </c>
    </row>
    <row r="2" spans="1:8" ht="12.75">
      <c r="A2" s="17"/>
      <c r="D2" s="17"/>
      <c r="E2" s="5">
        <v>0</v>
      </c>
      <c r="F2" s="5">
        <v>0</v>
      </c>
      <c r="G2" s="58">
        <v>0</v>
      </c>
      <c r="H2" s="103"/>
    </row>
    <row r="3" spans="1:9" ht="12.75">
      <c r="A3" s="17"/>
      <c r="D3" s="17"/>
      <c r="E3" s="5">
        <v>0</v>
      </c>
      <c r="F3" s="5">
        <v>0</v>
      </c>
      <c r="G3" s="58">
        <v>0</v>
      </c>
      <c r="I3" s="1"/>
    </row>
    <row r="4" spans="1:9" ht="14.25">
      <c r="A4" s="47" t="s">
        <v>14</v>
      </c>
      <c r="B4" s="104">
        <f>Model!F4</f>
        <v>3.5841314404661486</v>
      </c>
      <c r="C4" s="104">
        <f>Model!K4</f>
        <v>4.340416126286781</v>
      </c>
      <c r="D4" s="105">
        <f>Model!P4</f>
        <v>4.649191950657251</v>
      </c>
      <c r="E4" s="6">
        <v>0</v>
      </c>
      <c r="F4" s="104">
        <f>C4-$B$4</f>
        <v>0.7562846858206327</v>
      </c>
      <c r="G4" s="104">
        <f>D4-$B$4</f>
        <v>1.0650605101911021</v>
      </c>
      <c r="I4" s="18" t="s">
        <v>23</v>
      </c>
    </row>
    <row r="5" spans="1:9" ht="12.75">
      <c r="A5" s="4" t="s">
        <v>20</v>
      </c>
      <c r="B5" s="7">
        <v>-0.005622021872866415</v>
      </c>
      <c r="C5" s="7">
        <v>0.00016793920361467496</v>
      </c>
      <c r="D5" s="55">
        <v>-0.0016510145659380995</v>
      </c>
      <c r="E5" s="59">
        <f aca="true" t="shared" si="0" ref="E5:G7">IF(E$1=0,$B5+E2,B5)</f>
        <v>-0.005622021872866415</v>
      </c>
      <c r="F5" s="59">
        <f t="shared" si="0"/>
        <v>0.00016793920361467496</v>
      </c>
      <c r="G5" s="59">
        <f t="shared" si="0"/>
        <v>-0.0016510145659380995</v>
      </c>
      <c r="H5" s="1"/>
      <c r="I5" s="1"/>
    </row>
    <row r="6" spans="1:7" ht="12.75">
      <c r="A6" s="4" t="s">
        <v>21</v>
      </c>
      <c r="B6" s="7">
        <v>0.3337106789789473</v>
      </c>
      <c r="C6" s="7">
        <v>0.04562381730462645</v>
      </c>
      <c r="D6" s="55">
        <v>0.14679746215984266</v>
      </c>
      <c r="E6" s="59">
        <f t="shared" si="0"/>
        <v>0.3337106789789473</v>
      </c>
      <c r="F6" s="59">
        <f t="shared" si="0"/>
        <v>0.04562381730462645</v>
      </c>
      <c r="G6" s="59">
        <f t="shared" si="0"/>
        <v>0.14679746215984266</v>
      </c>
    </row>
    <row r="7" spans="1:7" ht="12.75">
      <c r="A7" s="61" t="s">
        <v>22</v>
      </c>
      <c r="B7" s="59">
        <v>-0.8794897710829779</v>
      </c>
      <c r="C7" s="59">
        <v>2.3056517227084297</v>
      </c>
      <c r="D7" s="60">
        <v>1.4352840812152368</v>
      </c>
      <c r="E7" s="59">
        <f t="shared" si="0"/>
        <v>-0.8794897710829779</v>
      </c>
      <c r="F7" s="59">
        <f t="shared" si="0"/>
        <v>2.3056517227084297</v>
      </c>
      <c r="G7" s="59">
        <f t="shared" si="0"/>
        <v>1.4352840812152368</v>
      </c>
    </row>
    <row r="10" spans="1:4" ht="12.75">
      <c r="A10" s="48"/>
      <c r="B10" s="48" t="s">
        <v>11</v>
      </c>
      <c r="C10" s="48" t="s">
        <v>14</v>
      </c>
      <c r="D10" s="48" t="s">
        <v>15</v>
      </c>
    </row>
    <row r="11" spans="1:4" ht="12.75">
      <c r="A11" s="48" t="s">
        <v>12</v>
      </c>
      <c r="B11" s="49">
        <f>MIN(Model!B6:B20)</f>
        <v>16</v>
      </c>
      <c r="C11" s="50">
        <f>MIN(Model!D6:D20,Model!I6:I20,Model!N6:N20)</f>
        <v>2.919545758121322</v>
      </c>
      <c r="D11" s="50">
        <f>MIN(Model!F6:F20,Model!K6:K20,Model!P6:P20)</f>
        <v>3.9811987610745296</v>
      </c>
    </row>
    <row r="12" spans="1:4" ht="12.75">
      <c r="A12" s="48" t="s">
        <v>13</v>
      </c>
      <c r="B12" s="51">
        <f>MAX(Model!B6:B20)</f>
        <v>44</v>
      </c>
      <c r="C12" s="50">
        <f>MAX(Model!D6:D20,Model!I6:I20,Model!N6:N20)</f>
        <v>4.698008216592154</v>
      </c>
      <c r="D12" s="50">
        <f>MAX(Model!F6:F20,Model!K6:K20,Model!P6:P20)</f>
        <v>12.605189050847121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CC29"/>
  <sheetViews>
    <sheetView workbookViewId="0" topLeftCell="A1">
      <selection activeCell="B2" sqref="B2:B29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5.7109375" style="46" customWidth="1"/>
    <col min="4" max="4" width="8.7109375" style="94" bestFit="1" customWidth="1"/>
    <col min="5" max="5" width="6.28125" style="1" customWidth="1"/>
    <col min="6" max="6" width="5.28125" style="0" customWidth="1"/>
    <col min="7" max="7" width="6.7109375" style="17" customWidth="1"/>
    <col min="8" max="26" width="6.7109375" style="97" customWidth="1"/>
    <col min="27" max="27" width="6.7109375" style="98" customWidth="1"/>
    <col min="28" max="46" width="6.7109375" style="102" customWidth="1"/>
    <col min="47" max="47" width="6.7109375" style="2" customWidth="1"/>
    <col min="48" max="66" width="6.7109375" style="44" customWidth="1"/>
    <col min="67" max="67" width="6.7109375" style="45" customWidth="1"/>
    <col min="68" max="81" width="6.7109375" style="44" customWidth="1"/>
    <col min="82" max="16384" width="6.7109375" style="0" customWidth="1"/>
  </cols>
  <sheetData>
    <row r="1" spans="2:81" s="38" customFormat="1" ht="45" customHeight="1" thickBot="1">
      <c r="B1" s="38" t="s">
        <v>8</v>
      </c>
      <c r="C1" s="90" t="s">
        <v>33</v>
      </c>
      <c r="D1" s="92" t="s">
        <v>9</v>
      </c>
      <c r="E1" s="91" t="s">
        <v>2</v>
      </c>
      <c r="F1" s="92" t="s">
        <v>34</v>
      </c>
      <c r="G1" s="93" t="s">
        <v>35</v>
      </c>
      <c r="H1" s="99" t="s">
        <v>19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/>
      <c r="AB1" s="100" t="s">
        <v>10</v>
      </c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1"/>
      <c r="AV1" s="42" t="s">
        <v>11</v>
      </c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3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</row>
    <row r="2" spans="2:52" ht="13.5" thickTop="1">
      <c r="B2" t="s">
        <v>56</v>
      </c>
      <c r="C2" s="46" t="s">
        <v>29</v>
      </c>
      <c r="D2" s="94">
        <v>36700</v>
      </c>
      <c r="E2" s="1">
        <v>500</v>
      </c>
      <c r="F2">
        <v>4.5</v>
      </c>
      <c r="G2" s="17">
        <v>10</v>
      </c>
      <c r="H2" s="97">
        <v>0.001421296296296296</v>
      </c>
      <c r="I2" s="97">
        <v>0.001361111111111111</v>
      </c>
      <c r="J2" s="97">
        <v>0.0012199074074074078</v>
      </c>
      <c r="K2" s="97">
        <v>0.0011828703703703706</v>
      </c>
      <c r="L2" s="97">
        <v>0.001118055555555556</v>
      </c>
      <c r="AB2" s="102">
        <v>42.40263999999999</v>
      </c>
      <c r="AC2" s="102">
        <v>49.28987333333332</v>
      </c>
      <c r="AD2" s="102">
        <v>46.87665000000001</v>
      </c>
      <c r="AE2" s="102">
        <v>56.746550000000006</v>
      </c>
      <c r="AF2" s="102">
        <v>57.38684000000002</v>
      </c>
      <c r="AV2" s="44">
        <v>21.634</v>
      </c>
      <c r="AW2" s="44">
        <v>24.083</v>
      </c>
      <c r="AX2" s="44">
        <v>26.685</v>
      </c>
      <c r="AY2" s="44">
        <v>33.315</v>
      </c>
      <c r="AZ2" s="44">
        <v>35.644</v>
      </c>
    </row>
    <row r="3" spans="2:52" ht="12.75">
      <c r="B3" t="s">
        <v>57</v>
      </c>
      <c r="C3" s="46" t="s">
        <v>29</v>
      </c>
      <c r="D3" s="94">
        <v>36845</v>
      </c>
      <c r="E3" s="1">
        <v>500</v>
      </c>
      <c r="F3">
        <v>2.5</v>
      </c>
      <c r="G3" s="17">
        <v>7</v>
      </c>
      <c r="H3" s="97">
        <v>0.001531712962962963</v>
      </c>
      <c r="I3" s="97">
        <v>0.0014517361111111111</v>
      </c>
      <c r="J3" s="97">
        <v>0.0013861111111111112</v>
      </c>
      <c r="K3" s="97">
        <v>0.0013</v>
      </c>
      <c r="L3" s="97">
        <v>0.001266087962962963</v>
      </c>
      <c r="AB3" s="102">
        <v>41.813199999999995</v>
      </c>
      <c r="AC3" s="102">
        <v>47.154333333333334</v>
      </c>
      <c r="AD3" s="102">
        <v>51.11858333333334</v>
      </c>
      <c r="AE3" s="102">
        <v>55.43958333333334</v>
      </c>
      <c r="AF3" s="102">
        <v>60.58779999999999</v>
      </c>
      <c r="AV3" s="44">
        <v>20.4</v>
      </c>
      <c r="AW3" s="44">
        <v>24.5</v>
      </c>
      <c r="AX3" s="44">
        <v>28.1</v>
      </c>
      <c r="AY3" s="44">
        <v>32.5</v>
      </c>
      <c r="AZ3" s="44">
        <v>36.4</v>
      </c>
    </row>
    <row r="4" spans="2:52" ht="12.75">
      <c r="B4" t="s">
        <v>58</v>
      </c>
      <c r="C4" s="46" t="s">
        <v>32</v>
      </c>
      <c r="D4" s="94">
        <v>36817</v>
      </c>
      <c r="E4" s="1">
        <v>250</v>
      </c>
      <c r="F4">
        <v>4.5</v>
      </c>
      <c r="G4" s="17">
        <v>7</v>
      </c>
      <c r="H4" s="97">
        <v>0.0006377314814814814</v>
      </c>
      <c r="I4" s="97">
        <v>0.0006130787037037037</v>
      </c>
      <c r="J4" s="97">
        <v>0.0005715277777777778</v>
      </c>
      <c r="K4" s="97">
        <v>0.0005337962962962962</v>
      </c>
      <c r="L4" s="97">
        <v>0.0005271990740740741</v>
      </c>
      <c r="AB4" s="102">
        <v>18.593004581151828</v>
      </c>
      <c r="AC4" s="102">
        <v>21.83361046037296</v>
      </c>
      <c r="AD4" s="102">
        <v>23.1263</v>
      </c>
      <c r="AE4" s="102">
        <v>24.981666666666662</v>
      </c>
      <c r="AF4" s="102">
        <v>27.63366666666667</v>
      </c>
      <c r="AV4" s="44">
        <v>20.246465968586385</v>
      </c>
      <c r="AW4" s="44">
        <v>24.731293706293705</v>
      </c>
      <c r="AX4" s="44">
        <v>28.1</v>
      </c>
      <c r="AY4" s="44">
        <v>32.5</v>
      </c>
      <c r="AZ4" s="44">
        <v>36.4</v>
      </c>
    </row>
    <row r="5" spans="2:51" ht="12.75">
      <c r="B5" t="s">
        <v>59</v>
      </c>
      <c r="C5" s="46" t="s">
        <v>32</v>
      </c>
      <c r="D5" s="94">
        <v>36902</v>
      </c>
      <c r="E5" s="1">
        <v>500</v>
      </c>
      <c r="F5">
        <v>2.5</v>
      </c>
      <c r="G5" s="17">
        <v>7</v>
      </c>
      <c r="H5" s="97">
        <v>0.001351273148148148</v>
      </c>
      <c r="I5" s="97">
        <v>0.0012910879629629628</v>
      </c>
      <c r="J5" s="97">
        <v>0.001269386574074074</v>
      </c>
      <c r="K5" s="97">
        <v>0.0012262731481481482</v>
      </c>
      <c r="AB5" s="102">
        <v>43.78125</v>
      </c>
      <c r="AC5" s="102">
        <v>44.24816666666666</v>
      </c>
      <c r="AD5" s="102">
        <v>46.0635</v>
      </c>
      <c r="AE5" s="102">
        <v>53.85791666666667</v>
      </c>
      <c r="AV5" s="44">
        <v>22.5</v>
      </c>
      <c r="AW5" s="44">
        <v>23.8</v>
      </c>
      <c r="AX5" s="44">
        <v>25.2</v>
      </c>
      <c r="AY5" s="44">
        <v>30.5</v>
      </c>
    </row>
    <row r="6" spans="2:51" ht="12.75">
      <c r="B6" t="s">
        <v>60</v>
      </c>
      <c r="C6" s="46" t="s">
        <v>46</v>
      </c>
      <c r="D6" s="94">
        <v>36907</v>
      </c>
      <c r="E6" s="1">
        <v>500</v>
      </c>
      <c r="F6">
        <v>2.5</v>
      </c>
      <c r="G6" s="17">
        <v>7</v>
      </c>
      <c r="H6" s="97">
        <v>0.0016630352413700654</v>
      </c>
      <c r="I6" s="97">
        <v>0.001512731481481481</v>
      </c>
      <c r="J6" s="97">
        <v>0.0014085648148148147</v>
      </c>
      <c r="K6" s="97">
        <v>0.0012685185185185184</v>
      </c>
      <c r="AB6" s="102">
        <v>47.73568374259477</v>
      </c>
      <c r="AC6" s="102">
        <v>50.32952033333332</v>
      </c>
      <c r="AD6" s="102">
        <v>55.21062483333333</v>
      </c>
      <c r="AE6" s="102">
        <v>60.44239066666667</v>
      </c>
      <c r="AV6" s="44">
        <v>19.9333</v>
      </c>
      <c r="AW6" s="44">
        <v>23.1046</v>
      </c>
      <c r="AX6" s="44">
        <v>27.2197</v>
      </c>
      <c r="AY6" s="44">
        <v>33.0889</v>
      </c>
    </row>
    <row r="7" spans="2:51" ht="12.75">
      <c r="B7" t="s">
        <v>61</v>
      </c>
      <c r="C7" s="46" t="s">
        <v>46</v>
      </c>
      <c r="D7" s="94">
        <v>36907</v>
      </c>
      <c r="E7" s="1">
        <v>500</v>
      </c>
      <c r="F7">
        <v>2.5</v>
      </c>
      <c r="G7" s="17">
        <v>7</v>
      </c>
      <c r="H7" s="97">
        <v>0.0015539442401585515</v>
      </c>
      <c r="I7" s="97">
        <v>0.0014733796296296292</v>
      </c>
      <c r="J7" s="97">
        <v>0.0013807870370370371</v>
      </c>
      <c r="K7" s="97">
        <v>0.0013379629629629627</v>
      </c>
      <c r="AB7" s="102">
        <v>44.262199653166384</v>
      </c>
      <c r="AC7" s="102">
        <v>46.52793783333332</v>
      </c>
      <c r="AD7" s="102">
        <v>55.75704216666667</v>
      </c>
      <c r="AE7" s="102">
        <v>62.14655999999999</v>
      </c>
      <c r="AV7" s="44">
        <v>19.7804</v>
      </c>
      <c r="AW7" s="44">
        <v>21.9299</v>
      </c>
      <c r="AX7" s="44">
        <v>28.0421</v>
      </c>
      <c r="AY7" s="44">
        <v>32.256</v>
      </c>
    </row>
    <row r="8" spans="2:51" ht="12.75">
      <c r="B8" t="s">
        <v>62</v>
      </c>
      <c r="C8" s="46" t="s">
        <v>29</v>
      </c>
      <c r="D8" s="94">
        <v>36908</v>
      </c>
      <c r="E8" s="1">
        <v>500</v>
      </c>
      <c r="F8">
        <v>2.5</v>
      </c>
      <c r="G8" s="17">
        <v>7</v>
      </c>
      <c r="H8" s="97">
        <v>0.0014555828305263781</v>
      </c>
      <c r="I8" s="97">
        <v>0.0013773148148148147</v>
      </c>
      <c r="J8" s="97">
        <v>0.001309027777777778</v>
      </c>
      <c r="K8" s="97">
        <v>0.0011701388888888887</v>
      </c>
      <c r="AB8" s="102">
        <v>37.922590600269835</v>
      </c>
      <c r="AC8" s="102">
        <v>43.14245833333333</v>
      </c>
      <c r="AD8" s="102">
        <v>49.60905300000001</v>
      </c>
      <c r="AE8" s="102">
        <v>60.70060849999999</v>
      </c>
      <c r="AV8" s="44">
        <v>18.0925</v>
      </c>
      <c r="AW8" s="44">
        <v>21.7525</v>
      </c>
      <c r="AX8" s="44">
        <v>26.3178</v>
      </c>
      <c r="AY8" s="44">
        <v>36.0241</v>
      </c>
    </row>
    <row r="9" spans="2:51" ht="12.75">
      <c r="B9" t="s">
        <v>63</v>
      </c>
      <c r="C9" s="46" t="s">
        <v>29</v>
      </c>
      <c r="D9" s="94">
        <v>36908</v>
      </c>
      <c r="E9" s="1">
        <v>500</v>
      </c>
      <c r="F9">
        <v>2.5</v>
      </c>
      <c r="G9" s="17">
        <v>7</v>
      </c>
      <c r="H9" s="97">
        <v>0.0014680978842299631</v>
      </c>
      <c r="I9" s="97">
        <v>0.0013263888888888889</v>
      </c>
      <c r="J9" s="97">
        <v>0.0012627314814814816</v>
      </c>
      <c r="K9" s="97">
        <v>0.001193287037037037</v>
      </c>
      <c r="AB9" s="102">
        <v>40.669036182843115</v>
      </c>
      <c r="AC9" s="102">
        <v>44.186704</v>
      </c>
      <c r="AD9" s="102">
        <v>49.76632866666667</v>
      </c>
      <c r="AE9" s="102">
        <v>54.96381283333333</v>
      </c>
      <c r="AV9" s="44">
        <v>19.2374</v>
      </c>
      <c r="AW9" s="44">
        <v>23.1344</v>
      </c>
      <c r="AX9" s="44">
        <v>27.3692</v>
      </c>
      <c r="AY9" s="44">
        <v>31.9867</v>
      </c>
    </row>
    <row r="10" spans="2:51" ht="12.75">
      <c r="B10" t="s">
        <v>64</v>
      </c>
      <c r="C10" s="46" t="s">
        <v>29</v>
      </c>
      <c r="D10" s="94">
        <v>36908</v>
      </c>
      <c r="E10" s="1">
        <v>500</v>
      </c>
      <c r="F10">
        <v>2.5</v>
      </c>
      <c r="G10" s="17">
        <v>7</v>
      </c>
      <c r="H10" s="97">
        <v>0.0015095733792890682</v>
      </c>
      <c r="I10" s="97">
        <v>0.0013738425925925925</v>
      </c>
      <c r="J10" s="97">
        <v>0.0013252314814814813</v>
      </c>
      <c r="K10" s="97">
        <v>0.0012650462962962967</v>
      </c>
      <c r="AB10" s="102">
        <v>39.91853045939434</v>
      </c>
      <c r="AC10" s="102">
        <v>43.48317316666667</v>
      </c>
      <c r="AD10" s="102">
        <v>49.07336416666666</v>
      </c>
      <c r="AE10" s="102">
        <v>59.40272833333336</v>
      </c>
      <c r="AV10" s="44">
        <v>18.3636</v>
      </c>
      <c r="AW10" s="44">
        <v>21.9797</v>
      </c>
      <c r="AX10" s="44">
        <v>25.7153</v>
      </c>
      <c r="AY10" s="44">
        <v>32.609</v>
      </c>
    </row>
    <row r="11" spans="2:51" ht="12.75">
      <c r="B11" t="s">
        <v>65</v>
      </c>
      <c r="C11" s="46" t="s">
        <v>29</v>
      </c>
      <c r="D11" s="94">
        <v>36908</v>
      </c>
      <c r="E11" s="1">
        <v>500</v>
      </c>
      <c r="F11">
        <v>2.5</v>
      </c>
      <c r="G11" s="17">
        <v>7</v>
      </c>
      <c r="H11" s="97">
        <v>0.0014947049847423303</v>
      </c>
      <c r="I11" s="97">
        <v>0.0013726851851851856</v>
      </c>
      <c r="J11" s="97">
        <v>0.0012870370370370375</v>
      </c>
      <c r="K11" s="97">
        <v>0.0012135416666666664</v>
      </c>
      <c r="AB11" s="102">
        <v>41.964643608512745</v>
      </c>
      <c r="AC11" s="102">
        <v>46.11602866666668</v>
      </c>
      <c r="AD11" s="102">
        <v>53.04851600000002</v>
      </c>
      <c r="AE11" s="102">
        <v>59.27083124999998</v>
      </c>
      <c r="AV11" s="44">
        <v>19.4969</v>
      </c>
      <c r="AW11" s="44">
        <v>23.3302</v>
      </c>
      <c r="AX11" s="44">
        <v>28.6233</v>
      </c>
      <c r="AY11" s="44">
        <v>33.9175</v>
      </c>
    </row>
    <row r="12" spans="2:51" ht="12.75">
      <c r="B12" t="s">
        <v>66</v>
      </c>
      <c r="C12" s="46" t="s">
        <v>29</v>
      </c>
      <c r="D12" s="94">
        <v>36908</v>
      </c>
      <c r="E12" s="1">
        <v>500</v>
      </c>
      <c r="F12">
        <v>2.5</v>
      </c>
      <c r="G12" s="17">
        <v>7</v>
      </c>
      <c r="H12" s="97">
        <v>0.0016391974949179855</v>
      </c>
      <c r="I12" s="97">
        <v>0.0014027777777777784</v>
      </c>
      <c r="J12" s="97">
        <v>0.0012743055555555557</v>
      </c>
      <c r="K12" s="97">
        <v>0.0011909722222222224</v>
      </c>
      <c r="AB12" s="102">
        <v>45.62196108843794</v>
      </c>
      <c r="AC12" s="102">
        <v>46.331730000000015</v>
      </c>
      <c r="AD12" s="102">
        <v>51.39009250000001</v>
      </c>
      <c r="AE12" s="102">
        <v>63.798000000000016</v>
      </c>
      <c r="AV12" s="44">
        <v>19.3277</v>
      </c>
      <c r="AW12" s="44">
        <v>22.9365</v>
      </c>
      <c r="AX12" s="44">
        <v>28.0055</v>
      </c>
      <c r="AY12" s="44">
        <v>37.2</v>
      </c>
    </row>
    <row r="13" spans="2:51" ht="12.75">
      <c r="B13" t="s">
        <v>67</v>
      </c>
      <c r="C13" s="46" t="s">
        <v>29</v>
      </c>
      <c r="D13" s="94">
        <v>36908</v>
      </c>
      <c r="E13" s="1">
        <v>500</v>
      </c>
      <c r="F13">
        <v>2.5</v>
      </c>
      <c r="G13" s="17">
        <v>7</v>
      </c>
      <c r="H13" s="97">
        <v>0.0014892327177493643</v>
      </c>
      <c r="I13" s="97">
        <v>0.0014108796296296291</v>
      </c>
      <c r="J13" s="97">
        <v>0.00128125</v>
      </c>
      <c r="K13" s="97">
        <v>0.0011863425925925924</v>
      </c>
      <c r="AB13" s="102">
        <v>43.27076460334979</v>
      </c>
      <c r="AC13" s="102">
        <v>45.056677999999984</v>
      </c>
      <c r="AD13" s="102">
        <v>50.2240365</v>
      </c>
      <c r="AE13" s="102">
        <v>58.94945833333332</v>
      </c>
      <c r="AV13" s="44">
        <v>20.1776</v>
      </c>
      <c r="AW13" s="44">
        <v>22.1772</v>
      </c>
      <c r="AX13" s="44">
        <v>27.2217</v>
      </c>
      <c r="AY13" s="44">
        <v>34.507</v>
      </c>
    </row>
    <row r="14" spans="2:51" ht="12.75">
      <c r="B14" t="s">
        <v>68</v>
      </c>
      <c r="C14" s="46" t="s">
        <v>46</v>
      </c>
      <c r="D14" s="94">
        <v>36907</v>
      </c>
      <c r="E14" s="1">
        <v>500</v>
      </c>
      <c r="F14">
        <v>2.5</v>
      </c>
      <c r="G14" s="17">
        <v>7</v>
      </c>
      <c r="H14" s="97">
        <v>0.0016630352413700654</v>
      </c>
      <c r="I14" s="97">
        <v>0.001512731481481481</v>
      </c>
      <c r="J14" s="97">
        <v>0.0014085648148148147</v>
      </c>
      <c r="K14" s="97">
        <v>0.0012685185185185184</v>
      </c>
      <c r="AB14" s="102">
        <v>47.73568374259477</v>
      </c>
      <c r="AC14" s="102">
        <v>50.32952033333332</v>
      </c>
      <c r="AD14" s="102">
        <v>55.21062483333333</v>
      </c>
      <c r="AE14" s="102">
        <v>60.44239066666667</v>
      </c>
      <c r="AV14" s="44">
        <v>19.9333</v>
      </c>
      <c r="AW14" s="44">
        <v>23.1046</v>
      </c>
      <c r="AX14" s="44">
        <v>27.2197</v>
      </c>
      <c r="AY14" s="44">
        <v>33.0889</v>
      </c>
    </row>
    <row r="15" spans="2:51" ht="12.75">
      <c r="B15" t="s">
        <v>69</v>
      </c>
      <c r="C15" s="46" t="s">
        <v>46</v>
      </c>
      <c r="D15" s="94">
        <v>36907</v>
      </c>
      <c r="E15" s="1">
        <v>500</v>
      </c>
      <c r="F15">
        <v>2.5</v>
      </c>
      <c r="G15" s="17">
        <v>7</v>
      </c>
      <c r="H15" s="97">
        <v>0.0016501874133242297</v>
      </c>
      <c r="I15" s="97">
        <v>0.001533564814814815</v>
      </c>
      <c r="J15" s="97">
        <v>0.001416666666666667</v>
      </c>
      <c r="K15" s="97">
        <v>0.0013055555555555552</v>
      </c>
      <c r="AB15" s="102">
        <v>43.45936212030553</v>
      </c>
      <c r="AC15" s="102">
        <v>47.98112083333334</v>
      </c>
      <c r="AD15" s="102">
        <v>54.03144000000001</v>
      </c>
      <c r="AE15" s="102">
        <v>63.854387999999986</v>
      </c>
      <c r="AV15" s="44">
        <v>18.2889</v>
      </c>
      <c r="AW15" s="44">
        <v>21.7273</v>
      </c>
      <c r="AX15" s="44">
        <v>26.486</v>
      </c>
      <c r="AY15" s="44">
        <v>33.9651</v>
      </c>
    </row>
    <row r="16" spans="2:51" ht="12.75">
      <c r="B16" t="s">
        <v>70</v>
      </c>
      <c r="C16" s="46" t="s">
        <v>46</v>
      </c>
      <c r="D16" s="94">
        <v>36907</v>
      </c>
      <c r="E16" s="1">
        <v>500</v>
      </c>
      <c r="F16">
        <v>2.5</v>
      </c>
      <c r="G16" s="17">
        <v>7</v>
      </c>
      <c r="H16" s="97">
        <v>0.0015539442401585515</v>
      </c>
      <c r="I16" s="97">
        <v>0.0014733796296296292</v>
      </c>
      <c r="J16" s="97">
        <v>0.0013807870370370371</v>
      </c>
      <c r="K16" s="97">
        <v>0.0013379629629629627</v>
      </c>
      <c r="AB16" s="102">
        <v>44.262199653166384</v>
      </c>
      <c r="AC16" s="102">
        <v>46.52793783333332</v>
      </c>
      <c r="AD16" s="102">
        <v>55.75704216666667</v>
      </c>
      <c r="AE16" s="102">
        <v>62.14655999999999</v>
      </c>
      <c r="AV16" s="44">
        <v>19.7804</v>
      </c>
      <c r="AW16" s="44">
        <v>21.9299</v>
      </c>
      <c r="AX16" s="44">
        <v>28.0421</v>
      </c>
      <c r="AY16" s="44">
        <v>32.256</v>
      </c>
    </row>
    <row r="17" spans="2:51" ht="12.75">
      <c r="B17" t="s">
        <v>71</v>
      </c>
      <c r="C17" s="46" t="s">
        <v>46</v>
      </c>
      <c r="D17" s="94">
        <v>36907</v>
      </c>
      <c r="E17" s="1">
        <v>500</v>
      </c>
      <c r="F17">
        <v>2.5</v>
      </c>
      <c r="G17" s="17">
        <v>7</v>
      </c>
      <c r="H17" s="97">
        <v>0.001547913624163047</v>
      </c>
      <c r="I17" s="97">
        <v>0.001518518518518518</v>
      </c>
      <c r="J17" s="97">
        <v>0.0014178240740740735</v>
      </c>
      <c r="K17" s="97">
        <v>0.001269675925925926</v>
      </c>
      <c r="AB17" s="102">
        <v>43.031206219957134</v>
      </c>
      <c r="AC17" s="102">
        <v>48.879871999999985</v>
      </c>
      <c r="AD17" s="102">
        <v>54.175829166666645</v>
      </c>
      <c r="AE17" s="102">
        <v>65.180449</v>
      </c>
      <c r="AV17" s="44">
        <v>19.3052</v>
      </c>
      <c r="AW17" s="44">
        <v>22.3536</v>
      </c>
      <c r="AX17" s="44">
        <v>26.5351</v>
      </c>
      <c r="AY17" s="44">
        <v>35.6502</v>
      </c>
    </row>
    <row r="18" spans="2:51" ht="12.75">
      <c r="B18" t="s">
        <v>72</v>
      </c>
      <c r="C18" s="46" t="s">
        <v>47</v>
      </c>
      <c r="D18" s="94">
        <v>36913</v>
      </c>
      <c r="E18" s="1">
        <v>500</v>
      </c>
      <c r="H18" s="97">
        <v>0.0019601266530769744</v>
      </c>
      <c r="I18" s="97">
        <v>0.0017201967592592586</v>
      </c>
      <c r="J18" s="97">
        <v>0.0015763888888888891</v>
      </c>
      <c r="K18" s="97">
        <v>0.0014236111111111105</v>
      </c>
      <c r="AB18" s="102">
        <v>44.27615625239038</v>
      </c>
      <c r="AC18" s="102">
        <v>44.905309791666646</v>
      </c>
      <c r="AD18" s="102">
        <v>48.82474900000001</v>
      </c>
      <c r="AE18" s="102">
        <v>57.894869999999976</v>
      </c>
      <c r="AV18" s="44">
        <v>15.6864</v>
      </c>
      <c r="AW18" s="44">
        <v>18.1283</v>
      </c>
      <c r="AX18" s="44">
        <v>21.5087</v>
      </c>
      <c r="AY18" s="44">
        <v>28.2414</v>
      </c>
    </row>
    <row r="19" spans="2:51" ht="12.75">
      <c r="B19" t="s">
        <v>73</v>
      </c>
      <c r="C19" s="46" t="s">
        <v>47</v>
      </c>
      <c r="D19" s="94">
        <v>36913</v>
      </c>
      <c r="E19" s="1">
        <v>500</v>
      </c>
      <c r="H19" s="97">
        <v>0.0017863859953703707</v>
      </c>
      <c r="I19" s="97">
        <v>0.0017232638888888883</v>
      </c>
      <c r="J19" s="97">
        <v>0.0016239583333333336</v>
      </c>
      <c r="K19" s="97">
        <v>0.0015092592592592592</v>
      </c>
      <c r="AB19" s="102">
        <v>49.418810833333346</v>
      </c>
      <c r="AC19" s="102">
        <v>52.67430419999999</v>
      </c>
      <c r="AD19" s="102">
        <v>59.217835500000014</v>
      </c>
      <c r="AE19" s="102">
        <v>65.49340000000001</v>
      </c>
      <c r="AV19" s="44">
        <v>19.2112</v>
      </c>
      <c r="AW19" s="44">
        <v>21.2268</v>
      </c>
      <c r="AX19" s="44">
        <v>25.323</v>
      </c>
      <c r="AY19" s="44">
        <v>30.135</v>
      </c>
    </row>
    <row r="20" spans="2:51" ht="12.75">
      <c r="B20" t="s">
        <v>74</v>
      </c>
      <c r="C20" s="46" t="s">
        <v>47</v>
      </c>
      <c r="D20" s="94">
        <v>36913</v>
      </c>
      <c r="E20" s="1">
        <v>500</v>
      </c>
      <c r="H20" s="97">
        <v>0.0015446180555555554</v>
      </c>
      <c r="I20" s="97">
        <v>0.0014635416666666664</v>
      </c>
      <c r="J20" s="97">
        <v>0.0013582175925925925</v>
      </c>
      <c r="K20" s="97">
        <v>0.0013038384747727856</v>
      </c>
      <c r="AB20" s="102">
        <v>32.986962049999995</v>
      </c>
      <c r="AC20" s="102">
        <v>45.53843849999999</v>
      </c>
      <c r="AD20" s="102">
        <v>51.42707283333333</v>
      </c>
      <c r="AE20" s="102">
        <v>60.3136903155854</v>
      </c>
      <c r="AV20" s="44">
        <v>14.8306</v>
      </c>
      <c r="AW20" s="44">
        <v>21.6078</v>
      </c>
      <c r="AX20" s="44">
        <v>26.2942</v>
      </c>
      <c r="AY20" s="44">
        <v>32.124</v>
      </c>
    </row>
    <row r="21" spans="2:51" ht="12.75">
      <c r="B21" t="s">
        <v>75</v>
      </c>
      <c r="C21" s="46" t="s">
        <v>47</v>
      </c>
      <c r="D21" s="94">
        <v>36913</v>
      </c>
      <c r="E21" s="1">
        <v>500</v>
      </c>
      <c r="H21" s="97">
        <v>0.001651909722222222</v>
      </c>
      <c r="I21" s="97">
        <v>0.0016304398148148146</v>
      </c>
      <c r="J21" s="97">
        <v>0.0015467592592592594</v>
      </c>
      <c r="K21" s="97">
        <v>0.0014421296296296287</v>
      </c>
      <c r="AB21" s="102">
        <v>45.02640724999999</v>
      </c>
      <c r="AC21" s="102">
        <v>50.78903501666666</v>
      </c>
      <c r="AD21" s="102">
        <v>59.452426800000005</v>
      </c>
      <c r="AE21" s="102">
        <v>62.85343166666663</v>
      </c>
      <c r="AV21" s="44">
        <v>18.9286</v>
      </c>
      <c r="AW21" s="44">
        <v>21.6323</v>
      </c>
      <c r="AX21" s="44">
        <v>26.6922</v>
      </c>
      <c r="AY21" s="44">
        <v>30.2665</v>
      </c>
    </row>
    <row r="22" spans="2:51" ht="12.75">
      <c r="B22" t="s">
        <v>76</v>
      </c>
      <c r="C22" s="46" t="s">
        <v>47</v>
      </c>
      <c r="D22" s="94">
        <v>36915</v>
      </c>
      <c r="E22" s="1">
        <v>500</v>
      </c>
      <c r="H22" s="97">
        <v>0.0015641431280177852</v>
      </c>
      <c r="I22" s="97">
        <v>0.0016203125</v>
      </c>
      <c r="J22" s="97">
        <v>0.0013888310185185188</v>
      </c>
      <c r="K22" s="97">
        <v>0.00128275462962963</v>
      </c>
      <c r="AB22" s="102">
        <v>43.50377559560416</v>
      </c>
      <c r="AC22" s="102">
        <v>43.886332575000004</v>
      </c>
      <c r="AD22" s="102">
        <v>53.226182150000014</v>
      </c>
      <c r="AE22" s="102">
        <v>62.38214323333335</v>
      </c>
      <c r="AV22" s="44">
        <v>19.3147</v>
      </c>
      <c r="AW22" s="44">
        <v>18.8091</v>
      </c>
      <c r="AX22" s="44">
        <v>26.6142</v>
      </c>
      <c r="AY22" s="44">
        <v>33.7718</v>
      </c>
    </row>
    <row r="23" spans="2:51" ht="12.75">
      <c r="B23" t="s">
        <v>77</v>
      </c>
      <c r="C23" s="46" t="s">
        <v>47</v>
      </c>
      <c r="D23" s="94">
        <v>36915</v>
      </c>
      <c r="E23" s="1">
        <v>500</v>
      </c>
      <c r="H23" s="97">
        <v>0.0014921875000000005</v>
      </c>
      <c r="I23" s="97">
        <v>0.001413541666666666</v>
      </c>
      <c r="J23" s="97">
        <v>0.0013266203703703701</v>
      </c>
      <c r="K23" s="97">
        <v>0.001261111111111111</v>
      </c>
      <c r="AB23" s="102">
        <v>40.962910500000014</v>
      </c>
      <c r="AC23" s="102">
        <v>44.70324389999998</v>
      </c>
      <c r="AD23" s="102">
        <v>49.28277933333332</v>
      </c>
      <c r="AE23" s="102">
        <v>59.56479999999999</v>
      </c>
      <c r="AV23" s="44">
        <v>19.0636</v>
      </c>
      <c r="AW23" s="44">
        <v>21.9618</v>
      </c>
      <c r="AX23" s="44">
        <v>25.798</v>
      </c>
      <c r="AY23" s="44">
        <v>32.8</v>
      </c>
    </row>
    <row r="24" spans="2:51" ht="12.75">
      <c r="B24" t="s">
        <v>78</v>
      </c>
      <c r="C24" s="46" t="s">
        <v>47</v>
      </c>
      <c r="D24" s="94">
        <v>36915</v>
      </c>
      <c r="E24" s="1">
        <v>500</v>
      </c>
      <c r="H24" s="97">
        <v>0.0015266203703703705</v>
      </c>
      <c r="I24" s="97">
        <v>0.001422743055555555</v>
      </c>
      <c r="J24" s="97">
        <v>0.0014004629629629632</v>
      </c>
      <c r="K24" s="97">
        <v>0.0012636574074074071</v>
      </c>
      <c r="AB24" s="102">
        <v>40.34711083333334</v>
      </c>
      <c r="AC24" s="102">
        <v>45.501917999999975</v>
      </c>
      <c r="AD24" s="102">
        <v>52.48617000000001</v>
      </c>
      <c r="AE24" s="102">
        <v>59.50309999999999</v>
      </c>
      <c r="AV24" s="44">
        <v>18.3535</v>
      </c>
      <c r="AW24" s="44">
        <v>22.2096</v>
      </c>
      <c r="AX24" s="44">
        <v>26.0262</v>
      </c>
      <c r="AY24" s="44">
        <v>32.7</v>
      </c>
    </row>
    <row r="25" spans="2:52" ht="12.75">
      <c r="B25" t="s">
        <v>79</v>
      </c>
      <c r="C25" s="46" t="s">
        <v>32</v>
      </c>
      <c r="D25" s="94">
        <v>37022</v>
      </c>
      <c r="E25" s="1">
        <v>250</v>
      </c>
      <c r="H25" s="97">
        <v>0.0007209201388888889</v>
      </c>
      <c r="I25" s="97">
        <v>0.0006578703703703703</v>
      </c>
      <c r="J25" s="97">
        <v>0.0006384259259259259</v>
      </c>
      <c r="K25" s="97">
        <v>0.0006005787037037034</v>
      </c>
      <c r="L25" s="97">
        <v>0.000560300925925926</v>
      </c>
      <c r="AB25" s="102">
        <v>21.13082675</v>
      </c>
      <c r="AC25" s="102">
        <v>23.21914</v>
      </c>
      <c r="AD25" s="102">
        <v>25.207844199999997</v>
      </c>
      <c r="AE25" s="102">
        <v>28.04585313333332</v>
      </c>
      <c r="AF25" s="102">
        <v>28.617168083333336</v>
      </c>
      <c r="AV25" s="44">
        <v>20.3548</v>
      </c>
      <c r="AW25" s="44">
        <v>24.51</v>
      </c>
      <c r="AX25" s="44">
        <v>27.4197</v>
      </c>
      <c r="AY25" s="44">
        <v>32.4292</v>
      </c>
      <c r="AZ25" s="44">
        <v>35.4685</v>
      </c>
    </row>
    <row r="26" spans="2:51" ht="12.75">
      <c r="B26" t="s">
        <v>80</v>
      </c>
      <c r="C26" s="46" t="s">
        <v>48</v>
      </c>
      <c r="D26" s="94">
        <v>37776</v>
      </c>
      <c r="E26" s="1">
        <v>500</v>
      </c>
      <c r="H26" s="97">
        <v>0.0011446687179130094</v>
      </c>
      <c r="I26" s="97">
        <v>0.0010829911961052008</v>
      </c>
      <c r="J26" s="97">
        <v>0.001053977308031664</v>
      </c>
      <c r="K26" s="97">
        <v>0.001019542374895</v>
      </c>
      <c r="AB26" s="102">
        <v>40.076170472497495</v>
      </c>
      <c r="AC26" s="102">
        <v>44.89041827503902</v>
      </c>
      <c r="AD26" s="102">
        <v>48.58260340006709</v>
      </c>
      <c r="AE26" s="102">
        <v>52.44772297897655</v>
      </c>
      <c r="AV26" s="44">
        <v>24.3133</v>
      </c>
      <c r="AW26" s="44">
        <v>28.785</v>
      </c>
      <c r="AX26" s="44">
        <v>32.0101</v>
      </c>
      <c r="AY26" s="44">
        <v>35.7239</v>
      </c>
    </row>
    <row r="27" spans="2:60" ht="12.75">
      <c r="B27" t="s">
        <v>81</v>
      </c>
      <c r="C27" s="46" t="s">
        <v>49</v>
      </c>
      <c r="D27" s="94">
        <v>37783</v>
      </c>
      <c r="E27" s="1">
        <v>500</v>
      </c>
      <c r="H27" s="97">
        <v>0.001359953703703704</v>
      </c>
      <c r="I27" s="97">
        <v>0.001247685185185185</v>
      </c>
      <c r="J27" s="97">
        <v>0.001189814814814815</v>
      </c>
      <c r="K27" s="97">
        <v>0.0011111111111111115</v>
      </c>
      <c r="L27" s="97">
        <v>0.0010925925925925927</v>
      </c>
      <c r="M27" s="97">
        <v>0.0013194444444444451</v>
      </c>
      <c r="N27" s="97">
        <v>0.001233796296296296</v>
      </c>
      <c r="O27" s="97">
        <v>0.0012141203703703706</v>
      </c>
      <c r="P27" s="97">
        <v>0.001193287037037037</v>
      </c>
      <c r="Q27" s="97">
        <v>0.0013445216049382716</v>
      </c>
      <c r="R27" s="97">
        <v>0.0012905092592592595</v>
      </c>
      <c r="S27" s="97">
        <v>0.0012581018518518516</v>
      </c>
      <c r="T27" s="97">
        <v>0.0012281458333333337</v>
      </c>
      <c r="AB27" s="102">
        <v>37.91803333333334</v>
      </c>
      <c r="AC27" s="102">
        <v>44.12002466666666</v>
      </c>
      <c r="AD27" s="102">
        <v>46.919633333333344</v>
      </c>
      <c r="AE27" s="102">
        <v>51.21744000000002</v>
      </c>
      <c r="AF27" s="102">
        <v>56.110258666666674</v>
      </c>
      <c r="AG27" s="102">
        <v>40.767920000000025</v>
      </c>
      <c r="AH27" s="102">
        <v>45.53685499999999</v>
      </c>
      <c r="AI27" s="102">
        <v>47.34294350000001</v>
      </c>
      <c r="AJ27" s="102">
        <v>49.04329533333333</v>
      </c>
      <c r="AK27" s="102">
        <v>38.45794305555555</v>
      </c>
      <c r="AL27" s="102">
        <v>41.731662500000006</v>
      </c>
      <c r="AM27" s="102">
        <v>43.11585499999999</v>
      </c>
      <c r="AN27" s="102">
        <v>46.313909934000016</v>
      </c>
      <c r="AV27" s="44">
        <v>19.3624</v>
      </c>
      <c r="AW27" s="44">
        <v>24.5566</v>
      </c>
      <c r="AX27" s="44">
        <v>27.385</v>
      </c>
      <c r="AY27" s="44">
        <v>32.0109</v>
      </c>
      <c r="AZ27" s="44">
        <v>35.6633</v>
      </c>
      <c r="BA27" s="44">
        <v>21.4568</v>
      </c>
      <c r="BB27" s="44">
        <v>25.6305</v>
      </c>
      <c r="BC27" s="44">
        <v>27.0789</v>
      </c>
      <c r="BD27" s="44">
        <v>28.5412</v>
      </c>
      <c r="BE27" s="44">
        <v>19.8635</v>
      </c>
      <c r="BF27" s="44">
        <v>22.4565</v>
      </c>
      <c r="BG27" s="44">
        <v>23.799</v>
      </c>
      <c r="BH27" s="44">
        <v>26.1878</v>
      </c>
    </row>
    <row r="28" spans="2:51" ht="12.75">
      <c r="B28" t="s">
        <v>82</v>
      </c>
      <c r="C28" s="46" t="s">
        <v>48</v>
      </c>
      <c r="D28" s="94">
        <v>37790</v>
      </c>
      <c r="E28" s="1">
        <v>500</v>
      </c>
      <c r="H28" s="97">
        <v>0.0011496913580246915</v>
      </c>
      <c r="I28" s="97">
        <v>0.0010891203703703703</v>
      </c>
      <c r="J28" s="97">
        <v>0.0010729166666666667</v>
      </c>
      <c r="K28" s="97">
        <v>0.001019675925925926</v>
      </c>
      <c r="AB28" s="102">
        <v>40.35002777777778</v>
      </c>
      <c r="AC28" s="102">
        <v>45.126752833333335</v>
      </c>
      <c r="AD28" s="102">
        <v>48.9142365</v>
      </c>
      <c r="AE28" s="102">
        <v>53.01681800000001</v>
      </c>
      <c r="AV28" s="44">
        <v>24.3725</v>
      </c>
      <c r="AW28" s="44">
        <v>28.7737</v>
      </c>
      <c r="AX28" s="44">
        <v>31.6597</v>
      </c>
      <c r="AY28" s="44">
        <v>36.1068</v>
      </c>
    </row>
    <row r="29" spans="2:52" ht="12.75">
      <c r="B29" t="s">
        <v>83</v>
      </c>
      <c r="C29" s="46" t="s">
        <v>50</v>
      </c>
      <c r="D29" s="94">
        <v>37800</v>
      </c>
      <c r="E29" s="1">
        <v>250</v>
      </c>
      <c r="H29" s="97">
        <v>0.0006816970364555945</v>
      </c>
      <c r="I29" s="97">
        <v>0.0006383795554348409</v>
      </c>
      <c r="J29" s="97">
        <v>0.0005925788951084875</v>
      </c>
      <c r="K29" s="97">
        <v>0.0005745534795501186</v>
      </c>
      <c r="L29" s="97">
        <v>0.0005327459613177945</v>
      </c>
      <c r="AB29" s="102">
        <v>21.401305834012767</v>
      </c>
      <c r="AC29" s="102">
        <v>22.814817115045823</v>
      </c>
      <c r="AD29" s="102">
        <v>24.544371322573188</v>
      </c>
      <c r="AE29" s="102">
        <v>27.795555183706504</v>
      </c>
      <c r="AF29" s="102">
        <v>30.403317624154433</v>
      </c>
      <c r="AV29" s="44">
        <v>21.8015</v>
      </c>
      <c r="AW29" s="44">
        <v>24.8185</v>
      </c>
      <c r="AX29" s="44">
        <v>28.7636</v>
      </c>
      <c r="AY29" s="44">
        <v>33.5956</v>
      </c>
      <c r="AZ29" s="44">
        <v>39.6313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 </cp:lastModifiedBy>
  <cp:lastPrinted>2003-06-28T01:53:50Z</cp:lastPrinted>
  <dcterms:created xsi:type="dcterms:W3CDTF">1999-03-12T08:50:30Z</dcterms:created>
  <dcterms:modified xsi:type="dcterms:W3CDTF">2006-09-18T22:18:35Z</dcterms:modified>
  <cp:category/>
  <cp:version/>
  <cp:contentType/>
  <cp:contentStatus/>
</cp:coreProperties>
</file>